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92.168.1.2\servidor arquivos\MADALENA\CONVITE\convite 2021\convite nº 05-2021 casa\"/>
    </mc:Choice>
  </mc:AlternateContent>
  <bookViews>
    <workbookView xWindow="0" yWindow="0" windowWidth="24000" windowHeight="9735" activeTab="1"/>
  </bookViews>
  <sheets>
    <sheet name="BDI" sheetId="7" r:id="rId1"/>
    <sheet name="ORCAMENTO" sheetId="9" r:id="rId2"/>
    <sheet name="CRONOGRAMA" sheetId="10" r:id="rId3"/>
  </sheets>
  <externalReferences>
    <externalReference r:id="rId4"/>
  </externalReferences>
  <definedNames>
    <definedName name="aa" localSheetId="2">#REF!</definedName>
    <definedName name="aa" localSheetId="1">#REF!</definedName>
    <definedName name="aa">#REF!</definedName>
    <definedName name="AB" localSheetId="2">#REF!</definedName>
    <definedName name="AB" localSheetId="1">#REF!</definedName>
    <definedName name="AB">#REF!</definedName>
    <definedName name="_xlnm.Print_Area" localSheetId="0">BDI!$A$1:$J$40</definedName>
    <definedName name="_xlnm.Print_Area" localSheetId="2">CRONOGRAMA!$A$1:$K$21</definedName>
    <definedName name="_xlnm.Print_Area" localSheetId="1">ORCAMENTO!$A$1:$J$135</definedName>
    <definedName name="_xlnm.Database" localSheetId="2">#REF!</definedName>
    <definedName name="_xlnm.Database" localSheetId="1">#REF!</definedName>
    <definedName name="_xlnm.Database">#REF!</definedName>
    <definedName name="desagio" localSheetId="2">#REF!</definedName>
    <definedName name="desagio" localSheetId="1">#REF!</definedName>
    <definedName name="desagio">#REF!</definedName>
    <definedName name="DTF" localSheetId="2">#REF!</definedName>
    <definedName name="DTF" localSheetId="1">#REF!</definedName>
    <definedName name="DTF">#REF!</definedName>
    <definedName name="DTI" localSheetId="2">#REF!</definedName>
    <definedName name="DTI" localSheetId="1">#REF!</definedName>
    <definedName name="DTI">#REF!</definedName>
    <definedName name="Excel_BuiltIn_Print_Titles_2" localSheetId="2">#REF!</definedName>
    <definedName name="Excel_BuiltIn_Print_Titles_2" localSheetId="1">#REF!</definedName>
    <definedName name="Excel_BuiltIn_Print_Titles_2">#REF!</definedName>
    <definedName name="ir" localSheetId="2">#REF!</definedName>
    <definedName name="ir" localSheetId="1">#REF!</definedName>
    <definedName name="ir">#REF!</definedName>
    <definedName name="Mecanica" localSheetId="2">#REF!</definedName>
    <definedName name="Mecanica" localSheetId="1">#REF!</definedName>
    <definedName name="Mecanica">#REF!</definedName>
    <definedName name="NOIN" localSheetId="2">#REF!</definedName>
    <definedName name="NOIN" localSheetId="1">#REF!</definedName>
    <definedName name="NOIN">#REF!</definedName>
    <definedName name="PAR" localSheetId="2">#REF!</definedName>
    <definedName name="PAR" localSheetId="1">#REF!</definedName>
    <definedName name="PAR">#REF!</definedName>
    <definedName name="pp" localSheetId="2">#REF!</definedName>
    <definedName name="pp" localSheetId="1">#REF!</definedName>
    <definedName name="pp">#REF!</definedName>
    <definedName name="PPUMO" localSheetId="2">'[1]Orçamento Básico'!#REF!</definedName>
    <definedName name="PPUMO" localSheetId="1">'[1]Orçamento Básico'!#REF!</definedName>
    <definedName name="PPUMO">'[1]Orçamento Básico'!#REF!</definedName>
    <definedName name="PU" localSheetId="2">#REF!</definedName>
    <definedName name="PU" localSheetId="1">#REF!</definedName>
    <definedName name="PU">#REF!</definedName>
    <definedName name="PUM" localSheetId="2">'[1]Orçamento Básico'!#REF!</definedName>
    <definedName name="PUM" localSheetId="1">'[1]Orçamento Básico'!#REF!</definedName>
    <definedName name="PUM">'[1]Orçamento Básico'!#REF!</definedName>
    <definedName name="PUMO" localSheetId="2">'[1]Orçamento Básico'!#REF!</definedName>
    <definedName name="PUMO" localSheetId="1">'[1]Orçamento Básico'!#REF!</definedName>
    <definedName name="PUMO">'[1]Orçamento Básico'!#REF!</definedName>
    <definedName name="QF" localSheetId="2">#REF!</definedName>
    <definedName name="QF" localSheetId="1">#REF!</definedName>
    <definedName name="QF">#REF!</definedName>
    <definedName name="QI" localSheetId="2">#REF!</definedName>
    <definedName name="QI" localSheetId="1">#REF!</definedName>
    <definedName name="QI">#REF!</definedName>
    <definedName name="QTDE" localSheetId="2">#REF!</definedName>
    <definedName name="QTDE" localSheetId="1">#REF!</definedName>
    <definedName name="QTDE">#REF!</definedName>
    <definedName name="STM" localSheetId="2">'[1]Orçamento Básico'!#REF!</definedName>
    <definedName name="STM" localSheetId="1">'[1]Orçamento Básico'!#REF!</definedName>
    <definedName name="STM">'[1]Orçamento Básico'!#REF!</definedName>
    <definedName name="STMM" localSheetId="2">'[1]Orçamento Básico'!#REF!</definedName>
    <definedName name="STMM" localSheetId="1">'[1]Orçamento Básico'!#REF!</definedName>
    <definedName name="STMM">'[1]Orçamento Básico'!#REF!</definedName>
    <definedName name="STMO" localSheetId="2">'[1]Orçamento Básico'!#REF!</definedName>
    <definedName name="STMO" localSheetId="1">'[1]Orçamento Básico'!#REF!</definedName>
    <definedName name="STMO">'[1]Orçamento Básico'!#REF!</definedName>
    <definedName name="STMO1" localSheetId="2">'[1]Orçamento Básico'!#REF!</definedName>
    <definedName name="STMO1" localSheetId="1">'[1]Orçamento Básico'!#REF!</definedName>
    <definedName name="STMO1">'[1]Orçamento Básico'!#REF!</definedName>
    <definedName name="taxa" localSheetId="2">#REF!</definedName>
    <definedName name="taxa" localSheetId="1">#REF!</definedName>
    <definedName name="taxa">#REF!</definedName>
    <definedName name="_xlnm.Print_Titles" localSheetId="2">CRONOGRAMA!$1:$6</definedName>
    <definedName name="_xlnm.Print_Titles" localSheetId="1">ORCAMENTO!$1:$8</definedName>
    <definedName name="total" localSheetId="2">#REF!</definedName>
    <definedName name="total" localSheetId="1">#REF!</definedName>
    <definedName name="total">#REF!</definedName>
    <definedName name="Volume" localSheetId="2">#REF!</definedName>
    <definedName name="Volume" localSheetId="1">#REF!</definedName>
    <definedName name="Volume">#REF!</definedName>
    <definedName name="vpf" localSheetId="2">#REF!</definedName>
    <definedName name="vpf" localSheetId="1">#REF!</definedName>
    <definedName name="vpf">#REF!</definedName>
    <definedName name="vpi" localSheetId="2">#REF!</definedName>
    <definedName name="vpi" localSheetId="1">#REF!</definedName>
    <definedName name="vp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2" i="9" l="1"/>
  <c r="J18" i="10"/>
  <c r="J8" i="10"/>
  <c r="J9" i="10"/>
  <c r="J10" i="10"/>
  <c r="J11" i="10"/>
  <c r="J12" i="10"/>
  <c r="J13" i="10"/>
  <c r="J14" i="10"/>
  <c r="J15" i="10"/>
  <c r="J16" i="10"/>
  <c r="J17" i="10"/>
  <c r="J7" i="10"/>
  <c r="D56" i="9"/>
  <c r="I84" i="9"/>
  <c r="H84" i="9"/>
  <c r="J84" i="9" l="1"/>
  <c r="D45" i="9"/>
  <c r="I45" i="9" s="1"/>
  <c r="H45" i="9" l="1"/>
  <c r="J45" i="9" s="1"/>
  <c r="I14" i="9" l="1"/>
  <c r="H14" i="9"/>
  <c r="I13" i="9"/>
  <c r="H13" i="9"/>
  <c r="I11" i="9"/>
  <c r="H11" i="9"/>
  <c r="I12" i="9"/>
  <c r="H12" i="9"/>
  <c r="I93" i="9"/>
  <c r="H93" i="9"/>
  <c r="I92" i="9"/>
  <c r="H92" i="9"/>
  <c r="I85" i="9"/>
  <c r="H85" i="9"/>
  <c r="I82" i="9"/>
  <c r="H82" i="9"/>
  <c r="I75" i="9"/>
  <c r="H75" i="9"/>
  <c r="I86" i="9"/>
  <c r="H86" i="9"/>
  <c r="D19" i="9"/>
  <c r="D21" i="9"/>
  <c r="J14" i="9" l="1"/>
  <c r="J13" i="9"/>
  <c r="J82" i="9"/>
  <c r="J12" i="9"/>
  <c r="J11" i="9"/>
  <c r="J93" i="9"/>
  <c r="J92" i="9"/>
  <c r="J85" i="9"/>
  <c r="J86" i="9"/>
  <c r="J75" i="9"/>
  <c r="D10" i="9"/>
  <c r="B18" i="10"/>
  <c r="B17" i="10"/>
  <c r="B16" i="10"/>
  <c r="B15" i="10"/>
  <c r="B14" i="10"/>
  <c r="B13" i="10"/>
  <c r="B12" i="10"/>
  <c r="B11" i="10"/>
  <c r="B10" i="10"/>
  <c r="B9" i="10"/>
  <c r="B8" i="10"/>
  <c r="B7" i="10"/>
  <c r="I15" i="9"/>
  <c r="H15" i="9"/>
  <c r="J15" i="9" l="1"/>
  <c r="I130" i="9" l="1"/>
  <c r="I129" i="9"/>
  <c r="H129" i="9"/>
  <c r="I126" i="9"/>
  <c r="H126" i="9"/>
  <c r="I125" i="9"/>
  <c r="H125" i="9"/>
  <c r="I124" i="9"/>
  <c r="H124" i="9"/>
  <c r="I123" i="9"/>
  <c r="H123" i="9"/>
  <c r="I122" i="9"/>
  <c r="I121" i="9"/>
  <c r="H121" i="9"/>
  <c r="I120" i="9"/>
  <c r="H120" i="9"/>
  <c r="I119" i="9"/>
  <c r="H119" i="9"/>
  <c r="I118" i="9"/>
  <c r="H118" i="9"/>
  <c r="I117" i="9"/>
  <c r="H117" i="9"/>
  <c r="I116" i="9"/>
  <c r="H116" i="9"/>
  <c r="I115" i="9"/>
  <c r="H115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4" i="9"/>
  <c r="H94" i="9"/>
  <c r="I91" i="9"/>
  <c r="H91" i="9"/>
  <c r="I90" i="9"/>
  <c r="H90" i="9"/>
  <c r="I89" i="9"/>
  <c r="H89" i="9"/>
  <c r="I88" i="9"/>
  <c r="H88" i="9"/>
  <c r="I87" i="9"/>
  <c r="H87" i="9"/>
  <c r="I83" i="9"/>
  <c r="H83" i="9"/>
  <c r="I81" i="9"/>
  <c r="H81" i="9"/>
  <c r="I80" i="9"/>
  <c r="H80" i="9"/>
  <c r="I79" i="9"/>
  <c r="H79" i="9"/>
  <c r="I78" i="9"/>
  <c r="H78" i="9"/>
  <c r="I77" i="9"/>
  <c r="H77" i="9"/>
  <c r="I76" i="9"/>
  <c r="H76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58" i="9"/>
  <c r="H58" i="9"/>
  <c r="I57" i="9"/>
  <c r="H57" i="9"/>
  <c r="I56" i="9"/>
  <c r="D55" i="9"/>
  <c r="I55" i="9" s="1"/>
  <c r="I52" i="9"/>
  <c r="H52" i="9"/>
  <c r="I51" i="9"/>
  <c r="H51" i="9"/>
  <c r="I50" i="9"/>
  <c r="H50" i="9"/>
  <c r="I49" i="9"/>
  <c r="H49" i="9"/>
  <c r="D42" i="9"/>
  <c r="I42" i="9" s="1"/>
  <c r="I37" i="9"/>
  <c r="H37" i="9"/>
  <c r="D36" i="9"/>
  <c r="D35" i="9"/>
  <c r="D34" i="9"/>
  <c r="D32" i="9"/>
  <c r="D33" i="9" s="1"/>
  <c r="D31" i="9"/>
  <c r="D41" i="9" s="1"/>
  <c r="D28" i="9"/>
  <c r="H28" i="9" s="1"/>
  <c r="D27" i="9"/>
  <c r="I27" i="9" s="1"/>
  <c r="D26" i="9"/>
  <c r="H26" i="9" s="1"/>
  <c r="D25" i="9"/>
  <c r="H25" i="9" s="1"/>
  <c r="D23" i="9"/>
  <c r="H23" i="9" s="1"/>
  <c r="D22" i="9"/>
  <c r="I22" i="9" s="1"/>
  <c r="H21" i="9"/>
  <c r="I20" i="9"/>
  <c r="H20" i="9"/>
  <c r="D18" i="9"/>
  <c r="I18" i="9" s="1"/>
  <c r="I10" i="9"/>
  <c r="H10" i="9"/>
  <c r="J66" i="9" l="1"/>
  <c r="J94" i="9"/>
  <c r="J105" i="9"/>
  <c r="J76" i="9"/>
  <c r="J125" i="9"/>
  <c r="J119" i="9"/>
  <c r="J116" i="9"/>
  <c r="J111" i="9"/>
  <c r="J108" i="9"/>
  <c r="J102" i="9"/>
  <c r="J89" i="9"/>
  <c r="J88" i="9"/>
  <c r="J83" i="9"/>
  <c r="J80" i="9"/>
  <c r="J77" i="9"/>
  <c r="J72" i="9"/>
  <c r="J71" i="9"/>
  <c r="J69" i="9"/>
  <c r="J65" i="9"/>
  <c r="J58" i="9"/>
  <c r="J57" i="9"/>
  <c r="J52" i="9"/>
  <c r="J49" i="9"/>
  <c r="J37" i="9"/>
  <c r="J67" i="9"/>
  <c r="H44" i="9"/>
  <c r="J117" i="9"/>
  <c r="J123" i="9"/>
  <c r="I44" i="9"/>
  <c r="J91" i="9"/>
  <c r="J115" i="9"/>
  <c r="J10" i="9"/>
  <c r="J16" i="9" s="1"/>
  <c r="C7" i="10" s="1"/>
  <c r="I34" i="9"/>
  <c r="H35" i="9"/>
  <c r="I19" i="9"/>
  <c r="I31" i="9"/>
  <c r="I35" i="9"/>
  <c r="I43" i="9"/>
  <c r="H31" i="9"/>
  <c r="J20" i="9"/>
  <c r="J50" i="9"/>
  <c r="J70" i="9"/>
  <c r="J78" i="9"/>
  <c r="J81" i="9"/>
  <c r="J87" i="9"/>
  <c r="J97" i="9"/>
  <c r="J100" i="9"/>
  <c r="J106" i="9"/>
  <c r="J109" i="9"/>
  <c r="J112" i="9"/>
  <c r="J120" i="9"/>
  <c r="J98" i="9"/>
  <c r="J101" i="9"/>
  <c r="J104" i="9"/>
  <c r="J110" i="9"/>
  <c r="J121" i="9"/>
  <c r="J124" i="9"/>
  <c r="J129" i="9"/>
  <c r="H32" i="9"/>
  <c r="H36" i="9"/>
  <c r="H42" i="9"/>
  <c r="J42" i="9" s="1"/>
  <c r="H46" i="9"/>
  <c r="J122" i="9"/>
  <c r="J107" i="9"/>
  <c r="J90" i="9"/>
  <c r="H19" i="9"/>
  <c r="I32" i="9"/>
  <c r="I36" i="9"/>
  <c r="I46" i="9"/>
  <c r="H55" i="9"/>
  <c r="J55" i="9" s="1"/>
  <c r="D62" i="9"/>
  <c r="H130" i="9"/>
  <c r="J130" i="9" s="1"/>
  <c r="J51" i="9"/>
  <c r="J126" i="9"/>
  <c r="J99" i="9"/>
  <c r="J79" i="9"/>
  <c r="H18" i="9"/>
  <c r="J18" i="9" s="1"/>
  <c r="H56" i="9"/>
  <c r="J56" i="9" s="1"/>
  <c r="H34" i="9"/>
  <c r="H43" i="9"/>
  <c r="J118" i="9"/>
  <c r="J103" i="9"/>
  <c r="J68" i="9"/>
  <c r="I33" i="9"/>
  <c r="H33" i="9"/>
  <c r="I41" i="9"/>
  <c r="H41" i="9"/>
  <c r="D24" i="9"/>
  <c r="I21" i="9"/>
  <c r="I23" i="9"/>
  <c r="J23" i="9" s="1"/>
  <c r="I25" i="9"/>
  <c r="I26" i="9"/>
  <c r="J26" i="9" s="1"/>
  <c r="I28" i="9"/>
  <c r="H22" i="9"/>
  <c r="J22" i="9" s="1"/>
  <c r="H27" i="9"/>
  <c r="D40" i="9"/>
  <c r="J12" i="7"/>
  <c r="J11" i="7"/>
  <c r="J10" i="7"/>
  <c r="J9" i="7"/>
  <c r="E7" i="10" l="1"/>
  <c r="I7" i="10"/>
  <c r="G7" i="10"/>
  <c r="J31" i="9"/>
  <c r="J33" i="9"/>
  <c r="J19" i="9"/>
  <c r="J44" i="9"/>
  <c r="J131" i="9"/>
  <c r="C18" i="10" s="1"/>
  <c r="J113" i="9"/>
  <c r="C16" i="10" s="1"/>
  <c r="I16" i="10" s="1"/>
  <c r="J35" i="9"/>
  <c r="J41" i="9"/>
  <c r="J43" i="9"/>
  <c r="J73" i="9"/>
  <c r="C14" i="10" s="1"/>
  <c r="J34" i="9"/>
  <c r="J53" i="9"/>
  <c r="C11" i="10" s="1"/>
  <c r="J32" i="9"/>
  <c r="J127" i="9"/>
  <c r="C17" i="10" s="1"/>
  <c r="I17" i="10" s="1"/>
  <c r="J95" i="9"/>
  <c r="C15" i="10" s="1"/>
  <c r="I15" i="10" s="1"/>
  <c r="J46" i="9"/>
  <c r="J21" i="9"/>
  <c r="J25" i="9"/>
  <c r="J28" i="9"/>
  <c r="J36" i="9"/>
  <c r="J27" i="9"/>
  <c r="H62" i="9"/>
  <c r="I62" i="9"/>
  <c r="J59" i="9"/>
  <c r="C12" i="10" s="1"/>
  <c r="D61" i="9"/>
  <c r="H40" i="9"/>
  <c r="I40" i="9"/>
  <c r="I24" i="9"/>
  <c r="H24" i="9"/>
  <c r="D39" i="7"/>
  <c r="G17" i="10" l="1"/>
  <c r="E17" i="10"/>
  <c r="E15" i="10"/>
  <c r="G15" i="10"/>
  <c r="I11" i="10"/>
  <c r="G11" i="10"/>
  <c r="E11" i="10"/>
  <c r="I18" i="10"/>
  <c r="G18" i="10"/>
  <c r="E18" i="10"/>
  <c r="I12" i="10"/>
  <c r="G12" i="10"/>
  <c r="E12" i="10"/>
  <c r="G16" i="10"/>
  <c r="E16" i="10"/>
  <c r="K7" i="10"/>
  <c r="E14" i="10"/>
  <c r="G14" i="10"/>
  <c r="I14" i="10"/>
  <c r="J40" i="9"/>
  <c r="J24" i="9"/>
  <c r="J38" i="9"/>
  <c r="C9" i="10" s="1"/>
  <c r="J62" i="9"/>
  <c r="I61" i="9"/>
  <c r="H61" i="9"/>
  <c r="K15" i="10" l="1"/>
  <c r="K14" i="10"/>
  <c r="K16" i="10"/>
  <c r="K12" i="10"/>
  <c r="K11" i="10"/>
  <c r="K17" i="10"/>
  <c r="K18" i="10"/>
  <c r="E9" i="10"/>
  <c r="I9" i="10"/>
  <c r="G9" i="10"/>
  <c r="J47" i="9"/>
  <c r="C10" i="10" s="1"/>
  <c r="J29" i="9"/>
  <c r="C8" i="10" s="1"/>
  <c r="J61" i="9"/>
  <c r="E8" i="10" l="1"/>
  <c r="I8" i="10"/>
  <c r="G8" i="10"/>
  <c r="I10" i="10"/>
  <c r="G10" i="10"/>
  <c r="E10" i="10"/>
  <c r="K9" i="10"/>
  <c r="J63" i="9"/>
  <c r="K10" i="10" l="1"/>
  <c r="K8" i="10"/>
  <c r="J133" i="9"/>
  <c r="J134" i="9" s="1"/>
  <c r="J135" i="9" s="1"/>
  <c r="C13" i="10"/>
  <c r="C20" i="10" l="1"/>
  <c r="E13" i="10"/>
  <c r="E20" i="10" s="1"/>
  <c r="G13" i="10"/>
  <c r="G20" i="10" s="1"/>
  <c r="I13" i="10"/>
  <c r="K13" i="10" l="1"/>
  <c r="K20" i="10" s="1"/>
  <c r="J20" i="10" s="1"/>
  <c r="F20" i="10"/>
  <c r="D20" i="10"/>
  <c r="I20" i="10"/>
  <c r="H20" i="10" s="1"/>
  <c r="E21" i="10"/>
  <c r="D21" i="10" s="1"/>
  <c r="G21" i="10" l="1"/>
  <c r="F21" i="10" s="1"/>
  <c r="K21" i="10"/>
  <c r="J21" i="10" s="1"/>
  <c r="I21" i="10" l="1"/>
  <c r="H21" i="10" s="1"/>
</calcChain>
</file>

<file path=xl/sharedStrings.xml><?xml version="1.0" encoding="utf-8"?>
<sst xmlns="http://schemas.openxmlformats.org/spreadsheetml/2006/main" count="497" uniqueCount="374">
  <si>
    <t>Item</t>
  </si>
  <si>
    <t>Descrição</t>
  </si>
  <si>
    <t>Unidade</t>
  </si>
  <si>
    <t>1.1</t>
  </si>
  <si>
    <t>m2</t>
  </si>
  <si>
    <t>m3</t>
  </si>
  <si>
    <t>Planilha Orçamentária</t>
  </si>
  <si>
    <t>kg</t>
  </si>
  <si>
    <t>3</t>
  </si>
  <si>
    <t>Paredes e painéis</t>
  </si>
  <si>
    <t>3.1</t>
  </si>
  <si>
    <t>3.2</t>
  </si>
  <si>
    <t>3.3</t>
  </si>
  <si>
    <t>4</t>
  </si>
  <si>
    <t>4.1</t>
  </si>
  <si>
    <t>4.2</t>
  </si>
  <si>
    <t>5</t>
  </si>
  <si>
    <t>Cobertura</t>
  </si>
  <si>
    <t>5.1</t>
  </si>
  <si>
    <t>5.2</t>
  </si>
  <si>
    <t xml:space="preserve"> un</t>
  </si>
  <si>
    <t>m</t>
  </si>
  <si>
    <t>6</t>
  </si>
  <si>
    <t>Esquadrias</t>
  </si>
  <si>
    <t>6.1</t>
  </si>
  <si>
    <t>6.2</t>
  </si>
  <si>
    <t>6.3</t>
  </si>
  <si>
    <t>6.4</t>
  </si>
  <si>
    <t>7</t>
  </si>
  <si>
    <t>7.1</t>
  </si>
  <si>
    <t>7.2</t>
  </si>
  <si>
    <t>Pintura</t>
  </si>
  <si>
    <t>8</t>
  </si>
  <si>
    <t>8.1</t>
  </si>
  <si>
    <t>8.2</t>
  </si>
  <si>
    <t>Aparelhos e metais</t>
  </si>
  <si>
    <t>9</t>
  </si>
  <si>
    <t>9.1</t>
  </si>
  <si>
    <t>9.2</t>
  </si>
  <si>
    <t>9.3</t>
  </si>
  <si>
    <t>Instalações elétricas</t>
  </si>
  <si>
    <t>Instalações hidráulicas</t>
  </si>
  <si>
    <t>Instalações sanitárias</t>
  </si>
  <si>
    <t>5.4</t>
  </si>
  <si>
    <t>rolo</t>
  </si>
  <si>
    <t>4.3</t>
  </si>
  <si>
    <t xml:space="preserve">Tubo de PVC marrom de de 25mm </t>
  </si>
  <si>
    <t>3.4</t>
  </si>
  <si>
    <t>Serviços Preliminares</t>
  </si>
  <si>
    <t>Cobertura com telha colonial - Plan</t>
  </si>
  <si>
    <t>Cumeeira para telha plan</t>
  </si>
  <si>
    <t>Revestimento de Piso e Parede</t>
  </si>
  <si>
    <t>4.4</t>
  </si>
  <si>
    <t>4.5</t>
  </si>
  <si>
    <t>Fundação</t>
  </si>
  <si>
    <t>10.1</t>
  </si>
  <si>
    <t>10.2</t>
  </si>
  <si>
    <t>h</t>
  </si>
  <si>
    <t>Estaca a trado diâmetro 25 cm s/ ferro</t>
  </si>
  <si>
    <t>Preparo de concreto betoneira e transporte manual FCK 20 MPa</t>
  </si>
  <si>
    <t>Lançamento/aplicação/adensamento manual de concreto</t>
  </si>
  <si>
    <t>Aço CA-50 - 8,0mm</t>
  </si>
  <si>
    <t>Aço CA-60 - 4,2mm</t>
  </si>
  <si>
    <t>Aço CA-50 - 6,3mm (cintas)</t>
  </si>
  <si>
    <t>Aço CA-60 - 4,2mm (cintas)</t>
  </si>
  <si>
    <t>3.5</t>
  </si>
  <si>
    <t>3.6</t>
  </si>
  <si>
    <t>Embocamento de beirral</t>
  </si>
  <si>
    <t>5.3</t>
  </si>
  <si>
    <t>Passeio de proteção conc. Desemp. e=5cm</t>
  </si>
  <si>
    <t>4.6</t>
  </si>
  <si>
    <t>Paredes (P.V.A.) 3 demãos c/ selador</t>
  </si>
  <si>
    <t>3.7</t>
  </si>
  <si>
    <t>Forro laje prem. c/ capeamento/aço/escora/forma e desforma</t>
  </si>
  <si>
    <t>Locação da obra</t>
  </si>
  <si>
    <t>Alvenaria 1/2 vez em bloco cerâmico 14x29x9</t>
  </si>
  <si>
    <t>Forma tabua e pinhop/fundações U=3V (OBRAS CIVIS)</t>
  </si>
  <si>
    <t xml:space="preserve">Tubo de PVC marrom de de 32mm </t>
  </si>
  <si>
    <t xml:space="preserve">Tubo de PVC marrom de de 50mm </t>
  </si>
  <si>
    <t>Registro de pressão c/ canopla cromada diam. 3/4"</t>
  </si>
  <si>
    <t>Registro de gaveta c/ canopla diametro 1.1/2"</t>
  </si>
  <si>
    <t>Joelho red. 90 graus sold. C/ bucha latao 25x1/2"</t>
  </si>
  <si>
    <t>Tê PVC 25 mm 90°</t>
  </si>
  <si>
    <t>Caixa de descarga externa</t>
  </si>
  <si>
    <t>Chuveiro elétrico pvc c/ braco metálico</t>
  </si>
  <si>
    <t>Adap. Pvc sold. Longo c/ flanges liv. p/ cx.d'agua 25x3/4"</t>
  </si>
  <si>
    <t>Adap. Pvc sold. Longo c/ flanges liv. p/ cx.d'agua 50x1.1/2"</t>
  </si>
  <si>
    <t>Corpo cx. sifonado 100x100x40mm</t>
  </si>
  <si>
    <t>Caixa de inspeção c/ tampa de concreto e=5cm</t>
  </si>
  <si>
    <t>Sumidouro D:1,60 prof.4,5 m</t>
  </si>
  <si>
    <t>Estrutura-telha cerâmica V=3 A 7 M. c/ ferragens</t>
  </si>
  <si>
    <t>Chapisco comum</t>
  </si>
  <si>
    <t>Dobradiça 3" X 3 1/2" cromada</t>
  </si>
  <si>
    <t>Pintura esmalte c/ anticorrosivo 2 demãos</t>
  </si>
  <si>
    <t>Pia marmotec/granito sintético 1,2x0,6 m</t>
  </si>
  <si>
    <t>Tanque marmotec/uma cuba e um batedor</t>
  </si>
  <si>
    <t>Lavatório c/ coluna</t>
  </si>
  <si>
    <t>Torneira parede p/ tanque diam. 1/2" e 3/4"</t>
  </si>
  <si>
    <t>Torneira p/ lavatório diam. 1/2"</t>
  </si>
  <si>
    <t>Escavação manual &lt; 1 m</t>
  </si>
  <si>
    <t>Embasamento c/ tijolo comum</t>
  </si>
  <si>
    <t>Apiloado</t>
  </si>
  <si>
    <t>Aterro int. s/ apiloamento c/ transp. em carrinho mão</t>
  </si>
  <si>
    <t>Lançamento/aplicação/adensamento manual de concreto fund.</t>
  </si>
  <si>
    <t>Impermeabilização c/ cimento cristalizante 3 demãos</t>
  </si>
  <si>
    <t>Prep. conc. c/ bet. e trans. m. fck 20 MPa (cintas e pil. de amar.)</t>
  </si>
  <si>
    <t>Reboco paulista A-13</t>
  </si>
  <si>
    <t>Rodapé cerâmica c/ arg. colante</t>
  </si>
  <si>
    <t>Piso cerâmica PEI-5 c/ contrapiso (1CI:3ARML) e arg. colante</t>
  </si>
  <si>
    <t>Fech. (alav.) Lafonte 6236 - E/8766-E17 IMAB</t>
  </si>
  <si>
    <t>Ligação flexivel pvc diam. 1/2" (engate)</t>
  </si>
  <si>
    <t>Torneira p/ pia diam. 1/2" e 3/4" - parede</t>
  </si>
  <si>
    <t>Administração</t>
  </si>
  <si>
    <t>Lâmp. fluoresc. compacta elet.15W temperatura</t>
  </si>
  <si>
    <t>Interruptor simples 1 seção</t>
  </si>
  <si>
    <t>Caixa metálica ret. 4" X 2" X 2"</t>
  </si>
  <si>
    <t>Eletroduto PVC flexível - mangueira corrugada - diam. 3/4"</t>
  </si>
  <si>
    <t>Fio isolado pvc 750 V N° 2,5 mm2</t>
  </si>
  <si>
    <t>Fio isolado pvc 750 V N° 4,0 mm2</t>
  </si>
  <si>
    <t>Fita isolante rolo 20 m</t>
  </si>
  <si>
    <t>Joelho 90° soldavel diam. 25 mm</t>
  </si>
  <si>
    <t>Ligação flexível pvc diam. 1/2" (engate)</t>
  </si>
  <si>
    <t>Torneira boia diâmetro 1" (25 mm)</t>
  </si>
  <si>
    <t>Kit cavalete d=25mm p/ hidro. 1,5-3,0-5,0 m3 murreta/caixa</t>
  </si>
  <si>
    <t>Caixa d'agua polietileno 500L c/ tampa</t>
  </si>
  <si>
    <t>Caixa de gordura 50L impermeabilizada</t>
  </si>
  <si>
    <t>Tubo sold. p/ esgoto PVC 40 mm</t>
  </si>
  <si>
    <t>Tubo sold. p/ esgoto PVC 50 mm</t>
  </si>
  <si>
    <t>Tubo sold. p/ esgoto PVC 100 mm</t>
  </si>
  <si>
    <t>Joelho 90 graus diametro 40mm</t>
  </si>
  <si>
    <t xml:space="preserve">Joelho 90 graus c/ anel 40mm </t>
  </si>
  <si>
    <t>Joelho 90 graus diametro 100mm</t>
  </si>
  <si>
    <t>Sifão flexivel universal (sanfonado)</t>
  </si>
  <si>
    <t>Unidade habitacional de 40,25m2 - 2 Dormitórios</t>
  </si>
  <si>
    <t>9.4</t>
  </si>
  <si>
    <t>9.5</t>
  </si>
  <si>
    <t>9.6</t>
  </si>
  <si>
    <t>9.7</t>
  </si>
  <si>
    <t>9.8</t>
  </si>
  <si>
    <t>10.3</t>
  </si>
  <si>
    <t>11</t>
  </si>
  <si>
    <t>11.1</t>
  </si>
  <si>
    <t>11.2</t>
  </si>
  <si>
    <t>Porta abrir/veneziana PF-4 com ferragens</t>
  </si>
  <si>
    <t>Forma tabua c/ reapr. duas vezes (cintas)</t>
  </si>
  <si>
    <t>Revestimento com cerâmica</t>
  </si>
  <si>
    <t>Quadro de distribuição de embutir PVC CB 12E - 80A</t>
  </si>
  <si>
    <t>Luminária tipo arandela de uso externo blindada com grade (pequena) - base E-27</t>
  </si>
  <si>
    <t>Fossa séptica 2500 litros com impermeabilização</t>
  </si>
  <si>
    <t>CUSTO TOTAL (SEM BDI):</t>
  </si>
  <si>
    <t>VALOR TOTAL (COM BDI):</t>
  </si>
  <si>
    <t>Sub total:</t>
  </si>
  <si>
    <t>2.2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</si>
  <si>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</si>
  <si>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</si>
  <si>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</si>
  <si>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</si>
  <si>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</si>
  <si>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</si>
  <si>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</si>
  <si>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</si>
  <si>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</si>
  <si>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</si>
  <si>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1) DESPESAS FINANCEIRAS - ( 0,00% a 1,2%)</t>
  </si>
  <si>
    <t xml:space="preserve">Riscos, administ. Central, administ., Garantia </t>
  </si>
  <si>
    <t>2) RISCOS  -  ( 0,00% A 2,05%)</t>
  </si>
  <si>
    <t>Despesas financeiras</t>
  </si>
  <si>
    <t>Bonificação/lucro</t>
  </si>
  <si>
    <t>COFIS/PIS/ISS/CPMF</t>
  </si>
  <si>
    <t>3) TAXA DE ADMINISTRAÇÃO - ESCRITÓRIO CENTRAL - ( 0,11% a 8,03%)</t>
  </si>
  <si>
    <t>4) BONIFICAÇÃO / LUCRO  - ( 3,83% a 9,96%)</t>
  </si>
  <si>
    <t>5) GARANTIA - ( 0,00% a 0,42%)</t>
  </si>
  <si>
    <t>7) Impostos - tais itens podem variar, mas principalmente o ISS, que pode ser isento,</t>
  </si>
  <si>
    <t>ou variar até 5%, porem deduzindo-se o valor dos materiais aplicados o que corresponde em torno de 2 a 3 %.</t>
  </si>
  <si>
    <t xml:space="preserve">   Intervalo total admissível (6,03% a 9,03%)</t>
  </si>
  <si>
    <t>COFINS=</t>
  </si>
  <si>
    <t>PIS=</t>
  </si>
  <si>
    <t>ISS=</t>
  </si>
  <si>
    <t>CPMF=</t>
  </si>
  <si>
    <t>BDI =</t>
  </si>
  <si>
    <t>Conforme o Acórdão 2622/2013 – TCU – Plenário</t>
  </si>
  <si>
    <t>2</t>
  </si>
  <si>
    <t>Construção de Unidade habitacional de 40,25m2 - 2 Dormitórios</t>
  </si>
  <si>
    <t>Composição de BDI (Bonificações e Despesas Indiretas)</t>
  </si>
  <si>
    <t>Engenheiro (referente a uma unidade)</t>
  </si>
  <si>
    <t>Encarregado (referente a uma unidade)</t>
  </si>
  <si>
    <t>Vaso sanitário</t>
  </si>
  <si>
    <t>8.3</t>
  </si>
  <si>
    <t>8.4</t>
  </si>
  <si>
    <t>8.5</t>
  </si>
  <si>
    <t>8.6</t>
  </si>
  <si>
    <t>8.7</t>
  </si>
  <si>
    <t>8.8</t>
  </si>
  <si>
    <t>9.9</t>
  </si>
  <si>
    <t>9.10</t>
  </si>
  <si>
    <t>9.12</t>
  </si>
  <si>
    <t>9.13</t>
  </si>
  <si>
    <t>9.14</t>
  </si>
  <si>
    <t>9.15</t>
  </si>
  <si>
    <t>10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</si>
  <si>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</si>
  <si>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</si>
  <si>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</si>
  <si>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</si>
  <si>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</si>
  <si>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</si>
  <si>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</si>
  <si>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</si>
  <si>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</si>
  <si>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</si>
  <si>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</si>
  <si>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</si>
  <si>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</si>
  <si>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</si>
  <si>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</si>
  <si>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</si>
  <si>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</si>
  <si>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</si>
  <si>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</si>
  <si>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</si>
  <si>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</si>
  <si>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</si>
  <si>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</si>
  <si>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12</t>
  </si>
  <si>
    <t>12.1</t>
  </si>
  <si>
    <t>12.2</t>
  </si>
  <si>
    <t>BDI = 23,34%</t>
  </si>
  <si>
    <t>Quant.       01 Casa</t>
  </si>
  <si>
    <t>CustoTotal        01 Casa</t>
  </si>
  <si>
    <t>Custo Unitário Material</t>
  </si>
  <si>
    <t>Custo Unitário Mão de Obra</t>
  </si>
  <si>
    <t>CustoTotal     Mão de Obra       01 Casa</t>
  </si>
  <si>
    <t>Cronograma Físico Financeiro</t>
  </si>
  <si>
    <t>Total</t>
  </si>
  <si>
    <t>%</t>
  </si>
  <si>
    <t>Valor</t>
  </si>
  <si>
    <t>1</t>
  </si>
  <si>
    <t>1.2</t>
  </si>
  <si>
    <t>Mês 01</t>
  </si>
  <si>
    <t>Mês 02</t>
  </si>
  <si>
    <t>Mês 03</t>
  </si>
  <si>
    <t>VALOR TOTAL COM BDI = 23,34%:</t>
  </si>
  <si>
    <t>VALOR TOTAL ACUMULADO COM BDI = 23,34%:</t>
  </si>
  <si>
    <t>Placa de obra plotada em chapa metálica 26, afixada em cavaletes de madeira de lei (vigotas 6x12cm) - Padrão GOINFRA - Tamanho 80x60cm (previsto uma placa para cada unidade habitacional)</t>
  </si>
  <si>
    <t>CustoTotal Material              01 Casa</t>
  </si>
  <si>
    <t>Preço Total            (01 Unidade)</t>
  </si>
  <si>
    <t>9.16</t>
  </si>
  <si>
    <t>Disjuntor monopolar de 10 a 32-A</t>
  </si>
  <si>
    <t>Padrao monofasico, 10 mm2 h=7 metros</t>
  </si>
  <si>
    <t>Luminária tipo plafon, de sobrepor, com 1 lâmpada led de 12/13 w, sem reator - fornecimento e instalação. af_02/2020</t>
  </si>
  <si>
    <t>Tomada hexagonal 2p + t - 10a - 250v (linha x ou equivalente)</t>
  </si>
  <si>
    <t>Interruptor simples 1 seção e 1 tomada hexagonal 2p + t - 10a conjugados</t>
  </si>
  <si>
    <t>9.17</t>
  </si>
  <si>
    <t>9.18</t>
  </si>
  <si>
    <t>9.19</t>
  </si>
  <si>
    <t>Caixa Met. Hexagonal (Sextavada 3"x3")</t>
  </si>
  <si>
    <t>Fio isolado pvc 750 V N° 10,0 mm2</t>
  </si>
  <si>
    <t>Isolador roldana porcelana 72 x 72</t>
  </si>
  <si>
    <t>Isolador roldana pvc pequeno (101)</t>
  </si>
  <si>
    <t>un</t>
  </si>
  <si>
    <t>9.20</t>
  </si>
  <si>
    <t xml:space="preserve">Código </t>
  </si>
  <si>
    <t>080651 GOINFRA</t>
  </si>
  <si>
    <t>080801 GOINFRA</t>
  </si>
  <si>
    <t>080541 GOINFRA</t>
  </si>
  <si>
    <t>080502 GOINFRA</t>
  </si>
  <si>
    <t>080556 GOINFRA</t>
  </si>
  <si>
    <t>080660 GOINFRA</t>
  </si>
  <si>
    <t>080810 GOINFRA</t>
  </si>
  <si>
    <t>080570 GOINFRA</t>
  </si>
  <si>
    <t>071805 GOINFRA</t>
  </si>
  <si>
    <t>072170 GOINFRA</t>
  </si>
  <si>
    <t>071171 GOINFRA</t>
  </si>
  <si>
    <t xml:space="preserve"> 97592 SINAPI</t>
  </si>
  <si>
    <t>071610 GOINFRA</t>
  </si>
  <si>
    <t>071567 GOINFRA</t>
  </si>
  <si>
    <t>072570 GOINFRA</t>
  </si>
  <si>
    <t>072575 GOINFRA</t>
  </si>
  <si>
    <t>071440 GOINFRA</t>
  </si>
  <si>
    <t>071443 GOINFRA</t>
  </si>
  <si>
    <t>070680 GOINFRA</t>
  </si>
  <si>
    <t>070691 GOINFRA</t>
  </si>
  <si>
    <t>071194 GOINFRA</t>
  </si>
  <si>
    <t>071291 GOINFRA</t>
  </si>
  <si>
    <t>071292GOINFRA</t>
  </si>
  <si>
    <t>071294 GOINFRA</t>
  </si>
  <si>
    <t>071480 GOINFRA</t>
  </si>
  <si>
    <t>071490GOINFRA</t>
  </si>
  <si>
    <t>071331 GOINFRA</t>
  </si>
  <si>
    <t>081003 GOINFRA</t>
  </si>
  <si>
    <t>081004 GOINFRA</t>
  </si>
  <si>
    <t>081006 GOINFRA</t>
  </si>
  <si>
    <t>081360 GOINFRA</t>
  </si>
  <si>
    <t>081321 GOINFRA</t>
  </si>
  <si>
    <t>081402GOINFRA</t>
  </si>
  <si>
    <t>080946 GOINFRA</t>
  </si>
  <si>
    <t>080929GOINFRA</t>
  </si>
  <si>
    <t>080511 GOINFRA</t>
  </si>
  <si>
    <t>080721 GOINFRA</t>
  </si>
  <si>
    <t>081889GOINFRA</t>
  </si>
  <si>
    <t>081041GOINFRA</t>
  </si>
  <si>
    <t>081043GOINFRA</t>
  </si>
  <si>
    <t>081815 GOINFRA</t>
  </si>
  <si>
    <t>081860 GOINFRA</t>
  </si>
  <si>
    <t>082301 GOINFRA</t>
  </si>
  <si>
    <t>082302 GOINFRA</t>
  </si>
  <si>
    <t>082304GOINFRA</t>
  </si>
  <si>
    <t>081935GOINFRA</t>
  </si>
  <si>
    <t>081927GOINFRA</t>
  </si>
  <si>
    <t>081938GOINFRA</t>
  </si>
  <si>
    <t>081661 GOINFRA</t>
  </si>
  <si>
    <t>080562GOINFRA</t>
  </si>
  <si>
    <t>081829GOINFRA</t>
  </si>
  <si>
    <t>081850GOINFRA</t>
  </si>
  <si>
    <t>081866 GOINFRA</t>
  </si>
  <si>
    <t>081874 GOINFRA</t>
  </si>
  <si>
    <t>250101 GOINFRA</t>
  </si>
  <si>
    <t>250103 GOINFRA</t>
  </si>
  <si>
    <t>1.3</t>
  </si>
  <si>
    <t>1.4</t>
  </si>
  <si>
    <t>021301 GOINFRA</t>
  </si>
  <si>
    <t>020701 GOINFRA</t>
  </si>
  <si>
    <t>Reaterro com apiloamento</t>
  </si>
  <si>
    <t>040902 GOINFRA</t>
  </si>
  <si>
    <t>041012 GOINFRA</t>
  </si>
  <si>
    <t>Indenização de jazida</t>
  </si>
  <si>
    <t>041006 GOINFRA</t>
  </si>
  <si>
    <t>Transporte de material escavado m3.km</t>
  </si>
  <si>
    <t>m3.Km</t>
  </si>
  <si>
    <t xml:space="preserve"> 041140 GOINFRA</t>
  </si>
  <si>
    <t>Regularização do terreno sem apiloamento com transporte manual da terra escavada</t>
  </si>
  <si>
    <t>040101 GOINFRA</t>
  </si>
  <si>
    <t>050201 GOINFRA</t>
  </si>
  <si>
    <t>041002 GOINFRA</t>
  </si>
  <si>
    <t>041003 GOINFRA</t>
  </si>
  <si>
    <t>050301 GOINFRA</t>
  </si>
  <si>
    <t>051017 GOINFRA</t>
  </si>
  <si>
    <t>051026 GOINFRA</t>
  </si>
  <si>
    <t>052004 GOINFRA</t>
  </si>
  <si>
    <t>052012 GOINFRA</t>
  </si>
  <si>
    <t>120209 GOINFRA</t>
  </si>
  <si>
    <t>051009 GOINFRA</t>
  </si>
  <si>
    <t>100160 GOINFRA</t>
  </si>
  <si>
    <t>060507 GOINFRA</t>
  </si>
  <si>
    <t>060801 GOINFRA</t>
  </si>
  <si>
    <t>060303 GOINFRA</t>
  </si>
  <si>
    <t>060312 GOINFRA</t>
  </si>
  <si>
    <t>060202 GOINFRA</t>
  </si>
  <si>
    <t>061101 GOINFRA</t>
  </si>
  <si>
    <t>200101 GOINFRA</t>
  </si>
  <si>
    <t>200504 GOINFRA</t>
  </si>
  <si>
    <t>220310 GOINFRA</t>
  </si>
  <si>
    <t>201302 GOINFRA</t>
  </si>
  <si>
    <t>220100 GOINFRA</t>
  </si>
  <si>
    <t>220309 GOINFRA</t>
  </si>
  <si>
    <t>140101 GOINFRA</t>
  </si>
  <si>
    <t>160401 GOINFRA</t>
  </si>
  <si>
    <t>160404 GOINFRA</t>
  </si>
  <si>
    <t>160402 GOINFRA</t>
  </si>
  <si>
    <t>180504 GOINFRA</t>
  </si>
  <si>
    <t>180402 GOINFRA</t>
  </si>
  <si>
    <t>230101 GOINFRA</t>
  </si>
  <si>
    <t>230202 GOINFRA</t>
  </si>
  <si>
    <t>261303 GOINFRA</t>
  </si>
  <si>
    <t>261602 GOINFRA</t>
  </si>
  <si>
    <t>271702 GOINFRA</t>
  </si>
  <si>
    <t>Bancada de marmore</t>
  </si>
  <si>
    <t>Tomada hexagonal 2p + t - 20a - 250v (linha x ou equivalente)</t>
  </si>
  <si>
    <t xml:space="preserve">92027 SINAPI </t>
  </si>
  <si>
    <t>Interruptor simples (2 módulos) com 1 tomada de embutir 2p+t 10 a, in</t>
  </si>
  <si>
    <t>SINAPI - PCI. 817.01 - CUSTO DE COMPOSIÇÕES - SINTÉTICO - DATA DE REFERÊNCIA TÉCNICA: 11/06/2021</t>
  </si>
  <si>
    <t>Janela veneziana chapa/vidro c/ ferragens - (4 janelas de 100x100cm e 01 janela de 40x40cm)</t>
  </si>
  <si>
    <t>9.11</t>
  </si>
  <si>
    <t>GOINFRA - TABELA 142 - CUSTOS DE OBRAS CIVIS - OUTUBRO/2021 - DESONERADA - DATA BASE: 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</si>
</sst>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_(* #,##0.00_);_(* \(#,##0.00\);_(* &quot;-&quot;??_);_(@_)"/>
    <numFmt numFmtId="167" formatCode="_(* #,##0.000_);_(* \(#,##0.0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color theme="1"/>
      <name val="Arial"/>
      <family val="2"/>
    </font>
    <font>
      <b/>
      <sz val="10"/>
      <color theme="1"/>
      <name val="Lucida Sans"/>
      <family val="2"/>
    </font>
    <font>
      <sz val="8"/>
      <color theme="1"/>
      <name val="Lucida San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Lucida Sans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4"/>
      <name val="Times New Roman"/>
      <family val="1"/>
    </font>
    <font>
      <sz val="11"/>
      <name val="Arial"/>
      <family val="2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165" fontId="4" fillId="0" borderId="0" applyBorder="0" applyProtection="0"/>
    <xf numFmtId="0" fontId="2" fillId="0" borderId="0"/>
    <xf numFmtId="0" fontId="10" fillId="0" borderId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17">
    <xf numFmtId="0" fontId="0" fillId="0" borderId="0" xfId="0"/>
    <xf numFmtId="0" fontId="10" fillId="0" borderId="0" xfId="5" applyFont="1"/>
    <xf numFmtId="0" fontId="10" fillId="0" borderId="0" xfId="5" applyFont="1" applyBorder="1"/>
    <xf numFmtId="0" fontId="13" fillId="0" borderId="0" xfId="5" applyFont="1"/>
    <xf numFmtId="0" fontId="13" fillId="0" borderId="0" xfId="5" applyFont="1" applyBorder="1"/>
    <xf numFmtId="0" fontId="13" fillId="0" borderId="5" xfId="5" applyFont="1" applyBorder="1"/>
    <xf numFmtId="0" fontId="13" fillId="0" borderId="6" xfId="5" applyFont="1" applyBorder="1"/>
    <xf numFmtId="0" fontId="10" fillId="0" borderId="5" xfId="5" applyFont="1" applyBorder="1"/>
    <xf numFmtId="0" fontId="10" fillId="0" borderId="6" xfId="5" applyFont="1" applyBorder="1"/>
    <xf numFmtId="10" fontId="10" fillId="0" borderId="7" xfId="6" applyNumberFormat="1" applyFont="1" applyBorder="1"/>
    <xf numFmtId="0" fontId="14" fillId="0" borderId="8" xfId="5" applyFont="1" applyBorder="1"/>
    <xf numFmtId="167" fontId="15" fillId="0" borderId="1" xfId="7" applyNumberFormat="1" applyFont="1" applyBorder="1"/>
    <xf numFmtId="0" fontId="14" fillId="0" borderId="9" xfId="5" applyFont="1" applyBorder="1"/>
    <xf numFmtId="0" fontId="14" fillId="0" borderId="10" xfId="5" applyFont="1" applyBorder="1"/>
    <xf numFmtId="10" fontId="10" fillId="0" borderId="0" xfId="6" applyNumberFormat="1" applyFont="1" applyBorder="1"/>
    <xf numFmtId="0" fontId="10" fillId="0" borderId="0" xfId="5" applyFont="1" applyBorder="1" applyAlignment="1">
      <alignment horizontal="center"/>
    </xf>
    <xf numFmtId="0" fontId="16" fillId="0" borderId="11" xfId="5" applyFont="1" applyBorder="1" applyAlignment="1">
      <alignment vertical="center"/>
    </xf>
    <xf numFmtId="0" fontId="10" fillId="0" borderId="12" xfId="5" applyFont="1" applyBorder="1" applyAlignment="1">
      <alignment vertical="center"/>
    </xf>
    <xf numFmtId="10" fontId="16" fillId="0" borderId="13" xfId="6" applyNumberFormat="1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10" fontId="7" fillId="0" borderId="0" xfId="4" applyNumberFormat="1" applyFont="1" applyBorder="1" applyAlignment="1">
      <alignment vertical="center"/>
    </xf>
    <xf numFmtId="0" fontId="10" fillId="0" borderId="14" xfId="5" applyFont="1" applyBorder="1"/>
    <xf numFmtId="0" fontId="10" fillId="0" borderId="15" xfId="5" applyFont="1" applyBorder="1"/>
    <xf numFmtId="0" fontId="10" fillId="0" borderId="16" xfId="5" applyFont="1" applyBorder="1"/>
    <xf numFmtId="0" fontId="6" fillId="0" borderId="0" xfId="0" applyFont="1" applyAlignment="1">
      <alignment horizontal="center" vertical="top"/>
    </xf>
    <xf numFmtId="0" fontId="11" fillId="0" borderId="5" xfId="4" applyFont="1" applyBorder="1" applyAlignment="1">
      <alignment horizontal="left" vertical="top"/>
    </xf>
    <xf numFmtId="0" fontId="9" fillId="0" borderId="0" xfId="4" applyFont="1" applyBorder="1" applyAlignment="1" applyProtection="1">
      <alignment vertical="center" wrapText="1"/>
    </xf>
    <xf numFmtId="0" fontId="11" fillId="0" borderId="0" xfId="4" applyFont="1" applyBorder="1" applyAlignment="1">
      <alignment horizontal="left" vertical="center"/>
    </xf>
    <xf numFmtId="0" fontId="9" fillId="0" borderId="6" xfId="4" applyFont="1" applyBorder="1" applyAlignment="1" applyProtection="1">
      <alignment vertical="center" wrapText="1"/>
    </xf>
    <xf numFmtId="0" fontId="11" fillId="0" borderId="5" xfId="4" applyFont="1" applyBorder="1" applyAlignment="1">
      <alignment horizontal="left" vertical="center"/>
    </xf>
    <xf numFmtId="0" fontId="12" fillId="0" borderId="0" xfId="4" applyFont="1" applyBorder="1" applyAlignment="1" applyProtection="1">
      <alignment vertical="center" wrapText="1"/>
    </xf>
    <xf numFmtId="0" fontId="8" fillId="0" borderId="0" xfId="4" applyFont="1" applyBorder="1" applyAlignment="1" applyProtection="1">
      <alignment vertical="center" wrapText="1"/>
    </xf>
    <xf numFmtId="0" fontId="8" fillId="0" borderId="6" xfId="4" applyFont="1" applyBorder="1" applyAlignment="1" applyProtection="1">
      <alignment vertical="center" wrapText="1"/>
    </xf>
    <xf numFmtId="164" fontId="6" fillId="3" borderId="0" xfId="1" applyFont="1" applyFill="1" applyAlignment="1">
      <alignment horizontal="right" vertical="top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center" vertical="top"/>
    </xf>
    <xf numFmtId="164" fontId="5" fillId="0" borderId="1" xfId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top"/>
    </xf>
    <xf numFmtId="164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/>
    </xf>
    <xf numFmtId="164" fontId="6" fillId="0" borderId="1" xfId="1" applyFont="1" applyBorder="1" applyAlignment="1">
      <alignment horizontal="right" vertical="top"/>
    </xf>
    <xf numFmtId="164" fontId="5" fillId="0" borderId="1" xfId="1" applyFont="1" applyBorder="1" applyAlignment="1">
      <alignment horizontal="center" vertical="top"/>
    </xf>
    <xf numFmtId="164" fontId="5" fillId="0" borderId="0" xfId="1" applyFont="1" applyAlignment="1">
      <alignment horizontal="center" vertical="top"/>
    </xf>
    <xf numFmtId="164" fontId="5" fillId="2" borderId="1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" fontId="5" fillId="0" borderId="1" xfId="0" applyNumberFormat="1" applyFont="1" applyBorder="1" applyAlignment="1">
      <alignment horizontal="center" vertical="top"/>
    </xf>
    <xf numFmtId="4" fontId="5" fillId="3" borderId="1" xfId="0" applyNumberFormat="1" applyFont="1" applyFill="1" applyBorder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164" fontId="5" fillId="0" borderId="0" xfId="1" applyFont="1" applyAlignment="1">
      <alignment vertical="top"/>
    </xf>
    <xf numFmtId="49" fontId="5" fillId="2" borderId="0" xfId="0" applyNumberFormat="1" applyFont="1" applyFill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164" fontId="6" fillId="0" borderId="0" xfId="1" applyFont="1" applyAlignment="1">
      <alignment vertical="top"/>
    </xf>
    <xf numFmtId="164" fontId="6" fillId="0" borderId="0" xfId="1" applyFont="1" applyAlignment="1">
      <alignment horizontal="right" vertical="top"/>
    </xf>
    <xf numFmtId="164" fontId="6" fillId="0" borderId="0" xfId="1" applyFont="1" applyAlignment="1">
      <alignment horizontal="center" vertical="top"/>
    </xf>
    <xf numFmtId="164" fontId="5" fillId="3" borderId="0" xfId="1" applyFont="1" applyFill="1" applyAlignment="1">
      <alignment horizontal="right" vertical="top"/>
    </xf>
    <xf numFmtId="4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164" fontId="5" fillId="3" borderId="1" xfId="1" applyFont="1" applyFill="1" applyBorder="1" applyAlignment="1">
      <alignment horizontal="right"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164" fontId="13" fillId="0" borderId="0" xfId="1" applyFont="1" applyAlignment="1">
      <alignment vertical="top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43" fontId="5" fillId="0" borderId="0" xfId="0" applyNumberFormat="1" applyFont="1" applyAlignment="1">
      <alignment horizontal="center" vertical="top"/>
    </xf>
    <xf numFmtId="49" fontId="21" fillId="0" borderId="0" xfId="0" applyNumberFormat="1" applyFont="1" applyAlignment="1">
      <alignment horizontal="center" vertical="top" wrapText="1"/>
    </xf>
    <xf numFmtId="49" fontId="21" fillId="2" borderId="1" xfId="0" applyNumberFormat="1" applyFont="1" applyFill="1" applyBorder="1" applyAlignment="1">
      <alignment horizontal="center" vertical="top" wrapText="1"/>
    </xf>
    <xf numFmtId="49" fontId="21" fillId="0" borderId="0" xfId="0" applyNumberFormat="1" applyFont="1" applyAlignment="1">
      <alignment horizontal="center" vertical="top"/>
    </xf>
    <xf numFmtId="49" fontId="21" fillId="0" borderId="0" xfId="0" applyNumberFormat="1" applyFont="1" applyFill="1" applyAlignment="1">
      <alignment horizontal="center" vertical="top"/>
    </xf>
    <xf numFmtId="0" fontId="21" fillId="0" borderId="1" xfId="0" applyFont="1" applyFill="1" applyBorder="1" applyAlignment="1">
      <alignment horizontal="justify" vertical="top" wrapText="1"/>
    </xf>
    <xf numFmtId="164" fontId="21" fillId="0" borderId="1" xfId="1" applyFont="1" applyFill="1" applyBorder="1" applyAlignment="1">
      <alignment horizontal="right" vertical="top"/>
    </xf>
    <xf numFmtId="10" fontId="21" fillId="0" borderId="1" xfId="11" applyNumberFormat="1" applyFont="1" applyFill="1" applyBorder="1" applyAlignment="1">
      <alignment horizontal="right" vertical="top"/>
    </xf>
    <xf numFmtId="0" fontId="21" fillId="0" borderId="0" xfId="0" applyFont="1" applyFill="1" applyAlignment="1">
      <alignment vertical="top"/>
    </xf>
    <xf numFmtId="0" fontId="21" fillId="0" borderId="0" xfId="0" applyFont="1" applyBorder="1" applyAlignment="1">
      <alignment horizontal="justify" vertical="top" wrapText="1"/>
    </xf>
    <xf numFmtId="164" fontId="21" fillId="0" borderId="1" xfId="1" applyFont="1" applyBorder="1" applyAlignment="1">
      <alignment horizontal="center" vertical="top"/>
    </xf>
    <xf numFmtId="164" fontId="21" fillId="0" borderId="1" xfId="1" applyFont="1" applyBorder="1" applyAlignment="1">
      <alignment horizontal="right" vertical="top"/>
    </xf>
    <xf numFmtId="10" fontId="21" fillId="0" borderId="1" xfId="11" applyNumberFormat="1" applyFont="1" applyBorder="1" applyAlignment="1">
      <alignment horizontal="right"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164" fontId="21" fillId="0" borderId="0" xfId="1" applyFont="1" applyAlignment="1">
      <alignment vertical="top"/>
    </xf>
    <xf numFmtId="0" fontId="24" fillId="0" borderId="0" xfId="5" applyFont="1"/>
    <xf numFmtId="0" fontId="24" fillId="0" borderId="0" xfId="5" applyFont="1" applyBorder="1"/>
    <xf numFmtId="43" fontId="5" fillId="0" borderId="0" xfId="0" applyNumberFormat="1" applyFont="1" applyAlignment="1">
      <alignment vertical="top"/>
    </xf>
    <xf numFmtId="49" fontId="25" fillId="0" borderId="0" xfId="0" applyNumberFormat="1" applyFont="1" applyAlignment="1">
      <alignment horizontal="center" vertical="top"/>
    </xf>
    <xf numFmtId="49" fontId="25" fillId="0" borderId="1" xfId="0" applyNumberFormat="1" applyFont="1" applyBorder="1" applyAlignment="1">
      <alignment horizontal="center" vertical="top"/>
    </xf>
    <xf numFmtId="0" fontId="25" fillId="0" borderId="1" xfId="0" applyFont="1" applyBorder="1" applyAlignment="1">
      <alignment horizontal="left" vertical="top" wrapText="1"/>
    </xf>
    <xf numFmtId="4" fontId="25" fillId="0" borderId="1" xfId="0" applyNumberFormat="1" applyFont="1" applyBorder="1" applyAlignment="1">
      <alignment horizontal="center" vertical="top"/>
    </xf>
    <xf numFmtId="164" fontId="25" fillId="0" borderId="1" xfId="1" applyFont="1" applyBorder="1" applyAlignment="1">
      <alignment horizontal="center" vertical="top"/>
    </xf>
    <xf numFmtId="164" fontId="25" fillId="3" borderId="1" xfId="1" applyFont="1" applyFill="1" applyBorder="1" applyAlignment="1">
      <alignment horizontal="right" vertical="top"/>
    </xf>
    <xf numFmtId="164" fontId="25" fillId="0" borderId="1" xfId="1" applyFont="1" applyBorder="1" applyAlignment="1">
      <alignment horizontal="right" vertical="top"/>
    </xf>
    <xf numFmtId="0" fontId="25" fillId="0" borderId="0" xfId="0" applyFont="1" applyAlignment="1">
      <alignment vertical="top"/>
    </xf>
    <xf numFmtId="0" fontId="16" fillId="0" borderId="0" xfId="5" applyFont="1" applyAlignment="1">
      <alignment horizontal="center"/>
    </xf>
    <xf numFmtId="0" fontId="17" fillId="0" borderId="5" xfId="4" applyFont="1" applyBorder="1" applyAlignment="1">
      <alignment horizontal="center" vertical="top"/>
    </xf>
    <xf numFmtId="0" fontId="17" fillId="0" borderId="0" xfId="4" applyFont="1" applyBorder="1" applyAlignment="1">
      <alignment horizontal="center" vertical="top"/>
    </xf>
    <xf numFmtId="0" fontId="17" fillId="0" borderId="6" xfId="4" applyFont="1" applyBorder="1" applyAlignment="1">
      <alignment horizontal="center" vertical="top"/>
    </xf>
    <xf numFmtId="0" fontId="17" fillId="0" borderId="2" xfId="4" applyFont="1" applyBorder="1" applyAlignment="1">
      <alignment horizontal="center" vertical="top"/>
    </xf>
    <xf numFmtId="0" fontId="17" fillId="0" borderId="3" xfId="4" applyFont="1" applyBorder="1" applyAlignment="1">
      <alignment horizontal="center" vertical="top"/>
    </xf>
    <xf numFmtId="0" fontId="17" fillId="0" borderId="4" xfId="4" applyFont="1" applyBorder="1" applyAlignment="1">
      <alignment horizontal="center" vertical="top"/>
    </xf>
    <xf numFmtId="0" fontId="18" fillId="0" borderId="0" xfId="5" applyFont="1" applyAlignment="1">
      <alignment horizontal="center"/>
    </xf>
    <xf numFmtId="49" fontId="19" fillId="0" borderId="0" xfId="0" applyNumberFormat="1" applyFont="1" applyAlignment="1">
      <alignment horizontal="center" vertical="top"/>
    </xf>
    <xf numFmtId="164" fontId="6" fillId="0" borderId="1" xfId="1" applyFont="1" applyBorder="1" applyAlignment="1">
      <alignment horizontal="right" vertical="top"/>
    </xf>
    <xf numFmtId="0" fontId="21" fillId="0" borderId="0" xfId="0" applyFont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49" fontId="23" fillId="0" borderId="0" xfId="0" applyNumberFormat="1" applyFont="1" applyAlignment="1">
      <alignment horizontal="center" vertical="top"/>
    </xf>
    <xf numFmtId="49" fontId="21" fillId="2" borderId="18" xfId="0" applyNumberFormat="1" applyFont="1" applyFill="1" applyBorder="1" applyAlignment="1">
      <alignment horizontal="center" vertical="top" wrapText="1"/>
    </xf>
    <xf numFmtId="49" fontId="21" fillId="2" borderId="17" xfId="0" applyNumberFormat="1" applyFont="1" applyFill="1" applyBorder="1" applyAlignment="1">
      <alignment horizontal="center" vertical="top" wrapText="1"/>
    </xf>
    <xf numFmtId="49" fontId="21" fillId="2" borderId="8" xfId="0" applyNumberFormat="1" applyFont="1" applyFill="1" applyBorder="1" applyAlignment="1">
      <alignment horizontal="center" vertical="top" wrapText="1"/>
    </xf>
    <xf numFmtId="49" fontId="21" fillId="2" borderId="10" xfId="0" applyNumberFormat="1" applyFont="1" applyFill="1" applyBorder="1" applyAlignment="1">
      <alignment horizontal="center" vertical="top" wrapText="1"/>
    </xf>
    <xf numFmtId="49" fontId="21" fillId="2" borderId="6" xfId="0" applyNumberFormat="1" applyFont="1" applyFill="1" applyBorder="1" applyAlignment="1">
      <alignment horizontal="center" vertical="top" wrapText="1"/>
    </xf>
  </cellXfs>
  <cellStyles count="15">
    <cellStyle name="Moeda" xfId="1" builtinId="4"/>
    <cellStyle name="Moeda 2" xfId="8"/>
    <cellStyle name="Moeda 2 2" xfId="14"/>
    <cellStyle name="Normal" xfId="0" builtinId="0"/>
    <cellStyle name="Normal 2" xfId="2"/>
    <cellStyle name="Normal 2 2" xfId="5"/>
    <cellStyle name="Normal 3" xfId="4"/>
    <cellStyle name="Normal 3 2" xfId="12"/>
    <cellStyle name="Porcentagem" xfId="11" builtinId="5"/>
    <cellStyle name="Porcentagem 2" xfId="6"/>
    <cellStyle name="Porcentagem 2 2" xfId="9"/>
    <cellStyle name="Porcentagem 3" xfId="10"/>
    <cellStyle name="TableStyleLight1" xfId="3"/>
    <cellStyle name="Vírgula 2" xfId="7"/>
    <cellStyle name="Vírgula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106680</xdr:rowOff>
    </xdr:from>
    <xdr:to>
      <xdr:col>4</xdr:col>
      <xdr:colOff>434340</xdr:colOff>
      <xdr:row>36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1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936105"/>
          <a:ext cx="287274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ivkur3b\_Dcezar\ForteOr&#231;amentoCorenReformaAmplia&#231;&#227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Básico"/>
      <sheetName val="PropostaCoren"/>
      <sheetName val="Araújo"/>
      <sheetName val="NúcleoEngenharia"/>
      <sheetName val="HS"/>
      <sheetName val="HO"/>
      <sheetName val="Básico (2)"/>
      <sheetName val="Parede"/>
      <sheetName val="tinta"/>
      <sheetName val="Gesso"/>
      <sheetName val="acartonado"/>
      <sheetName val="Metálica"/>
      <sheetName val="PABXS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4"/>
  <sheetViews>
    <sheetView view="pageBreakPreview" topLeftCell="A13" zoomScaleNormal="100" zoomScaleSheetLayoutView="100" workbookViewId="0">
      <selection activeCell="A41" sqref="A41:XFD51"/>
    </sheetView>
  </sheetViews>
  <sheetFormatPr defaultColWidth="8.85546875" defaultRowHeight="12.75" x14ac:dyDescent="0.2"/>
  <cols>
    <col min="1" max="1" width="8.85546875" style="1"/>
    <col min="2" max="3" width="9.28515625" style="1" bestFit="1" customWidth="1"/>
    <col min="4" max="4" width="18" style="1" bestFit="1" customWidth="1"/>
    <col min="5" max="5" width="9.7109375" style="1" customWidth="1"/>
    <col min="6" max="6" width="8.85546875" style="1"/>
    <col min="7" max="7" width="9.28515625" style="1" bestFit="1" customWidth="1"/>
    <col min="8" max="8" width="8.85546875" style="1"/>
    <col min="9" max="10" width="9.28515625" style="1" bestFit="1" customWidth="1"/>
    <col min="11" max="11" width="8.85546875" style="1"/>
    <col min="12" max="13" width="8.85546875" style="2"/>
    <col min="14" max="16384" width="8.85546875" style="1"/>
  </cols>
  <sheetData>
    <row r="1" spans="1:256" s="88" customFormat="1" ht="12.75" customHeight="1" x14ac:dyDescent="0.2">
      <c r="A1" s="103" t="s">
        <v>183</v>
      </c>
      <c r="B1" s="104"/>
      <c r="C1" s="104"/>
      <c r="D1" s="104"/>
      <c r="E1" s="104"/>
      <c r="F1" s="104"/>
      <c r="G1" s="104"/>
      <c r="H1" s="104"/>
      <c r="I1" s="104"/>
      <c r="J1" s="105"/>
      <c r="L1" s="89"/>
      <c r="M1" s="89"/>
    </row>
    <row r="2" spans="1:256" s="88" customFormat="1" ht="12.75" customHeight="1" x14ac:dyDescent="0.2">
      <c r="A2" s="100" t="s">
        <v>182</v>
      </c>
      <c r="B2" s="101"/>
      <c r="C2" s="101"/>
      <c r="D2" s="101"/>
      <c r="E2" s="101"/>
      <c r="F2" s="101"/>
      <c r="G2" s="101"/>
      <c r="H2" s="101"/>
      <c r="I2" s="101"/>
      <c r="J2" s="102"/>
      <c r="L2" s="89"/>
      <c r="M2" s="89"/>
    </row>
    <row r="3" spans="1:256" x14ac:dyDescent="0.2">
      <c r="A3" s="25"/>
      <c r="B3" s="26"/>
      <c r="C3" s="26"/>
      <c r="D3" s="26"/>
      <c r="E3" s="26"/>
      <c r="F3" s="26"/>
      <c r="G3" s="26"/>
      <c r="H3" s="27"/>
      <c r="I3" s="26"/>
      <c r="J3" s="28"/>
    </row>
    <row r="4" spans="1:256" ht="14.45" customHeight="1" x14ac:dyDescent="0.2">
      <c r="A4" s="29"/>
      <c r="B4" s="30"/>
      <c r="C4" s="31"/>
      <c r="D4" s="31"/>
      <c r="E4" s="31"/>
      <c r="F4" s="31"/>
      <c r="G4" s="31"/>
      <c r="H4" s="31"/>
      <c r="I4" s="31"/>
      <c r="J4" s="32"/>
    </row>
    <row r="5" spans="1:256" x14ac:dyDescent="0.2">
      <c r="A5" s="5"/>
      <c r="B5" s="4"/>
      <c r="C5" s="4"/>
      <c r="D5" s="4"/>
      <c r="E5" s="4"/>
      <c r="F5" s="4"/>
      <c r="G5" s="4"/>
      <c r="H5" s="4"/>
      <c r="I5" s="4"/>
      <c r="J5" s="6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x14ac:dyDescent="0.2">
      <c r="A6" s="7" t="s">
        <v>163</v>
      </c>
      <c r="B6" s="2"/>
      <c r="C6" s="2"/>
      <c r="D6" s="2"/>
      <c r="E6" s="2"/>
      <c r="F6" s="2"/>
      <c r="G6" s="2"/>
      <c r="H6" s="2"/>
      <c r="I6" s="2"/>
      <c r="J6" s="8"/>
    </row>
    <row r="7" spans="1:256" ht="13.5" thickBot="1" x14ac:dyDescent="0.25">
      <c r="A7" s="7"/>
      <c r="B7" s="2"/>
      <c r="C7" s="2"/>
      <c r="D7" s="2"/>
      <c r="E7" s="2"/>
      <c r="F7" s="2"/>
      <c r="G7" s="2"/>
      <c r="H7" s="2"/>
      <c r="I7" s="2"/>
      <c r="J7" s="8"/>
    </row>
    <row r="8" spans="1:256" ht="13.5" thickBot="1" x14ac:dyDescent="0.25">
      <c r="A8" s="7"/>
      <c r="B8" s="9">
        <v>1.11E-2</v>
      </c>
      <c r="C8" s="2"/>
      <c r="D8" s="2"/>
      <c r="E8" s="2"/>
      <c r="F8" s="2"/>
      <c r="G8" s="2"/>
      <c r="H8" s="2"/>
      <c r="I8" s="2"/>
      <c r="J8" s="8"/>
    </row>
    <row r="9" spans="1:256" x14ac:dyDescent="0.2">
      <c r="A9" s="7"/>
      <c r="B9" s="2"/>
      <c r="C9" s="2"/>
      <c r="D9" s="2"/>
      <c r="E9" s="2" t="s">
        <v>164</v>
      </c>
      <c r="F9" s="2"/>
      <c r="G9" s="2"/>
      <c r="H9" s="2"/>
      <c r="I9" s="10">
        <v>1</v>
      </c>
      <c r="J9" s="11">
        <f>1+B12+B16+B24</f>
        <v>1.0509000000000002</v>
      </c>
    </row>
    <row r="10" spans="1:256" x14ac:dyDescent="0.2">
      <c r="A10" s="7" t="s">
        <v>165</v>
      </c>
      <c r="B10" s="2"/>
      <c r="C10" s="2"/>
      <c r="D10" s="2"/>
      <c r="E10" s="2" t="s">
        <v>166</v>
      </c>
      <c r="F10" s="2"/>
      <c r="G10" s="2"/>
      <c r="H10" s="2"/>
      <c r="I10" s="12">
        <v>2</v>
      </c>
      <c r="J10" s="11">
        <f>1+B8</f>
        <v>1.0111000000000001</v>
      </c>
    </row>
    <row r="11" spans="1:256" ht="13.5" thickBot="1" x14ac:dyDescent="0.25">
      <c r="A11" s="7"/>
      <c r="B11" s="2"/>
      <c r="C11" s="2"/>
      <c r="D11" s="2"/>
      <c r="E11" s="2" t="s">
        <v>167</v>
      </c>
      <c r="F11" s="2"/>
      <c r="G11" s="2"/>
      <c r="H11" s="2"/>
      <c r="I11" s="12">
        <v>3</v>
      </c>
      <c r="J11" s="11">
        <f>1+B20</f>
        <v>1.0720000000000001</v>
      </c>
    </row>
    <row r="12" spans="1:256" ht="13.5" thickBot="1" x14ac:dyDescent="0.25">
      <c r="A12" s="7"/>
      <c r="B12" s="9">
        <v>9.7000000000000003E-3</v>
      </c>
      <c r="C12" s="2"/>
      <c r="D12" s="2"/>
      <c r="E12" s="2" t="s">
        <v>168</v>
      </c>
      <c r="F12" s="2"/>
      <c r="G12" s="2"/>
      <c r="H12" s="2"/>
      <c r="I12" s="13">
        <v>4</v>
      </c>
      <c r="J12" s="11">
        <f>1-C30-E30-G30-C32</f>
        <v>0.92349999999999999</v>
      </c>
    </row>
    <row r="13" spans="1:256" x14ac:dyDescent="0.2">
      <c r="A13" s="7"/>
      <c r="B13" s="2"/>
      <c r="C13" s="2"/>
      <c r="D13" s="2"/>
      <c r="E13" s="2"/>
      <c r="F13" s="2"/>
      <c r="G13" s="2"/>
      <c r="H13" s="2"/>
      <c r="I13" s="2"/>
      <c r="J13" s="8"/>
    </row>
    <row r="14" spans="1:256" x14ac:dyDescent="0.2">
      <c r="A14" s="7" t="s">
        <v>169</v>
      </c>
      <c r="B14" s="2"/>
      <c r="C14" s="2"/>
      <c r="D14" s="2"/>
      <c r="E14" s="2"/>
      <c r="F14" s="2"/>
      <c r="G14" s="2"/>
      <c r="H14" s="2"/>
      <c r="I14" s="2"/>
      <c r="J14" s="8"/>
    </row>
    <row r="15" spans="1:256" ht="13.5" thickBot="1" x14ac:dyDescent="0.25">
      <c r="A15" s="7"/>
      <c r="B15" s="2"/>
      <c r="C15" s="2"/>
      <c r="D15" s="2"/>
      <c r="E15" s="2"/>
      <c r="F15" s="2"/>
      <c r="G15" s="2"/>
      <c r="H15" s="2"/>
      <c r="I15" s="2"/>
      <c r="J15" s="8"/>
    </row>
    <row r="16" spans="1:256" ht="13.5" thickBot="1" x14ac:dyDescent="0.25">
      <c r="A16" s="7"/>
      <c r="B16" s="9">
        <v>0.04</v>
      </c>
      <c r="C16" s="2"/>
      <c r="D16" s="2"/>
      <c r="E16" s="2"/>
      <c r="F16" s="2"/>
      <c r="G16" s="2"/>
      <c r="H16" s="2"/>
      <c r="I16" s="2"/>
      <c r="J16" s="8"/>
    </row>
    <row r="17" spans="1:10" x14ac:dyDescent="0.2">
      <c r="A17" s="7"/>
      <c r="B17" s="2"/>
      <c r="C17" s="2"/>
      <c r="D17" s="2"/>
      <c r="E17" s="2"/>
      <c r="F17" s="2"/>
      <c r="G17" s="2"/>
      <c r="H17" s="2"/>
      <c r="I17" s="2"/>
      <c r="J17" s="8"/>
    </row>
    <row r="18" spans="1:10" x14ac:dyDescent="0.2">
      <c r="A18" s="7" t="s">
        <v>170</v>
      </c>
      <c r="B18" s="2"/>
      <c r="C18" s="2"/>
      <c r="D18" s="2"/>
      <c r="E18" s="2"/>
      <c r="F18" s="2"/>
      <c r="G18" s="2"/>
      <c r="H18" s="2"/>
      <c r="I18" s="2"/>
      <c r="J18" s="8"/>
    </row>
    <row r="19" spans="1:10" ht="13.5" thickBot="1" x14ac:dyDescent="0.25">
      <c r="A19" s="7"/>
      <c r="B19" s="2"/>
      <c r="C19" s="2"/>
      <c r="D19" s="2"/>
      <c r="E19" s="2"/>
      <c r="F19" s="2"/>
      <c r="G19" s="2"/>
      <c r="H19" s="2"/>
      <c r="I19" s="2"/>
      <c r="J19" s="8"/>
    </row>
    <row r="20" spans="1:10" ht="13.5" thickBot="1" x14ac:dyDescent="0.25">
      <c r="A20" s="7"/>
      <c r="B20" s="9">
        <v>7.1999999999999995E-2</v>
      </c>
      <c r="C20" s="2"/>
      <c r="D20" s="2"/>
      <c r="E20" s="2"/>
      <c r="F20" s="2"/>
      <c r="G20" s="2"/>
      <c r="H20" s="2"/>
      <c r="I20" s="2"/>
      <c r="J20" s="8"/>
    </row>
    <row r="21" spans="1:10" x14ac:dyDescent="0.2">
      <c r="A21" s="7"/>
      <c r="B21" s="2"/>
      <c r="C21" s="2"/>
      <c r="D21" s="2"/>
      <c r="E21" s="2"/>
      <c r="F21" s="2"/>
      <c r="G21" s="2"/>
      <c r="H21" s="2"/>
      <c r="I21" s="2"/>
      <c r="J21" s="8"/>
    </row>
    <row r="22" spans="1:10" x14ac:dyDescent="0.2">
      <c r="A22" s="7" t="s">
        <v>171</v>
      </c>
      <c r="B22" s="2"/>
      <c r="C22" s="2"/>
      <c r="D22" s="2"/>
      <c r="E22" s="2"/>
      <c r="F22" s="2"/>
      <c r="G22" s="2"/>
      <c r="H22" s="2"/>
      <c r="I22" s="2"/>
      <c r="J22" s="8"/>
    </row>
    <row r="23" spans="1:10" ht="13.5" thickBot="1" x14ac:dyDescent="0.25">
      <c r="A23" s="7"/>
      <c r="B23" s="2"/>
      <c r="C23" s="2"/>
      <c r="D23" s="2"/>
      <c r="E23" s="2"/>
      <c r="F23" s="2"/>
      <c r="G23" s="2"/>
      <c r="H23" s="2"/>
      <c r="I23" s="2"/>
      <c r="J23" s="8"/>
    </row>
    <row r="24" spans="1:10" ht="13.5" thickBot="1" x14ac:dyDescent="0.25">
      <c r="A24" s="7"/>
      <c r="B24" s="9">
        <v>1.1999999999999999E-3</v>
      </c>
      <c r="C24" s="2"/>
      <c r="D24" s="2"/>
      <c r="E24" s="2"/>
      <c r="F24" s="2"/>
      <c r="G24" s="2"/>
      <c r="H24" s="2"/>
      <c r="I24" s="2"/>
      <c r="J24" s="8"/>
    </row>
    <row r="25" spans="1:10" x14ac:dyDescent="0.2">
      <c r="A25" s="7"/>
      <c r="B25" s="14"/>
      <c r="C25" s="2"/>
      <c r="D25" s="2"/>
      <c r="E25" s="2"/>
      <c r="F25" s="2"/>
      <c r="G25" s="2"/>
      <c r="H25" s="2"/>
      <c r="I25" s="2"/>
      <c r="J25" s="8"/>
    </row>
    <row r="26" spans="1:10" x14ac:dyDescent="0.2">
      <c r="A26" s="7" t="s">
        <v>172</v>
      </c>
      <c r="B26" s="14"/>
      <c r="C26" s="2"/>
      <c r="D26" s="2"/>
      <c r="E26" s="2"/>
      <c r="F26" s="2"/>
      <c r="G26" s="2"/>
      <c r="H26" s="2"/>
      <c r="I26" s="2"/>
      <c r="J26" s="8"/>
    </row>
    <row r="27" spans="1:10" x14ac:dyDescent="0.2">
      <c r="A27" s="7" t="s">
        <v>173</v>
      </c>
      <c r="B27" s="2"/>
      <c r="C27" s="2"/>
      <c r="D27" s="2"/>
      <c r="E27" s="2"/>
      <c r="F27" s="2"/>
      <c r="G27" s="2"/>
      <c r="H27" s="2"/>
      <c r="I27" s="2"/>
      <c r="J27" s="8"/>
    </row>
    <row r="28" spans="1:10" x14ac:dyDescent="0.2">
      <c r="A28" s="7" t="s">
        <v>174</v>
      </c>
      <c r="B28" s="2"/>
      <c r="C28" s="2"/>
      <c r="D28" s="2"/>
      <c r="E28" s="2"/>
      <c r="F28" s="2"/>
      <c r="G28" s="2"/>
      <c r="H28" s="2"/>
      <c r="I28" s="2"/>
      <c r="J28" s="8"/>
    </row>
    <row r="29" spans="1:10" ht="13.5" thickBot="1" x14ac:dyDescent="0.25">
      <c r="A29" s="7"/>
      <c r="B29" s="2"/>
      <c r="C29" s="2"/>
      <c r="D29" s="2"/>
      <c r="E29" s="2"/>
      <c r="F29" s="2"/>
      <c r="G29" s="2"/>
      <c r="H29" s="2"/>
      <c r="I29" s="2"/>
      <c r="J29" s="8"/>
    </row>
    <row r="30" spans="1:10" ht="13.5" thickBot="1" x14ac:dyDescent="0.25">
      <c r="A30" s="7"/>
      <c r="B30" s="2" t="s">
        <v>175</v>
      </c>
      <c r="C30" s="9">
        <v>0.03</v>
      </c>
      <c r="D30" s="15" t="s">
        <v>176</v>
      </c>
      <c r="E30" s="9">
        <v>6.4999999999999997E-3</v>
      </c>
      <c r="F30" s="15" t="s">
        <v>177</v>
      </c>
      <c r="G30" s="9">
        <v>0.04</v>
      </c>
      <c r="H30" s="2"/>
      <c r="I30" s="2"/>
      <c r="J30" s="8"/>
    </row>
    <row r="31" spans="1:10" ht="13.5" thickBot="1" x14ac:dyDescent="0.25">
      <c r="A31" s="7"/>
      <c r="B31" s="2"/>
      <c r="C31" s="2"/>
      <c r="D31" s="2"/>
      <c r="E31" s="2"/>
      <c r="F31" s="2"/>
      <c r="G31" s="2"/>
      <c r="H31" s="2"/>
      <c r="I31" s="2"/>
      <c r="J31" s="8"/>
    </row>
    <row r="32" spans="1:10" ht="13.5" thickBot="1" x14ac:dyDescent="0.25">
      <c r="A32" s="7"/>
      <c r="B32" s="2" t="s">
        <v>178</v>
      </c>
      <c r="C32" s="9">
        <v>0</v>
      </c>
      <c r="D32" s="2"/>
      <c r="E32" s="2"/>
      <c r="F32" s="2"/>
      <c r="G32" s="2"/>
      <c r="H32" s="2"/>
      <c r="I32" s="2"/>
      <c r="J32" s="8"/>
    </row>
    <row r="33" spans="1:13" x14ac:dyDescent="0.2">
      <c r="A33" s="7"/>
      <c r="B33" s="2"/>
      <c r="C33" s="2"/>
      <c r="D33" s="2"/>
      <c r="E33" s="2"/>
      <c r="F33" s="2"/>
      <c r="G33" s="2"/>
      <c r="H33" s="2"/>
      <c r="I33" s="2"/>
      <c r="J33" s="8"/>
    </row>
    <row r="34" spans="1:13" x14ac:dyDescent="0.2">
      <c r="A34" s="7"/>
      <c r="B34" s="2"/>
      <c r="C34" s="2"/>
      <c r="D34" s="2"/>
      <c r="E34" s="2"/>
      <c r="F34" s="2"/>
      <c r="G34" s="2"/>
      <c r="H34" s="2"/>
      <c r="I34" s="2"/>
      <c r="J34" s="8"/>
    </row>
    <row r="35" spans="1:13" x14ac:dyDescent="0.2">
      <c r="A35" s="7"/>
      <c r="B35" s="2"/>
      <c r="C35" s="2"/>
      <c r="D35" s="2"/>
      <c r="E35" s="2"/>
      <c r="F35" s="2"/>
      <c r="G35" s="2"/>
      <c r="H35" s="2"/>
      <c r="I35" s="2"/>
      <c r="J35" s="8"/>
    </row>
    <row r="36" spans="1:13" x14ac:dyDescent="0.2">
      <c r="A36" s="7"/>
      <c r="B36" s="2"/>
      <c r="C36" s="2"/>
      <c r="D36" s="2"/>
      <c r="E36" s="2"/>
      <c r="F36" s="2"/>
      <c r="G36" s="2"/>
      <c r="H36" s="2"/>
      <c r="I36" s="2"/>
      <c r="J36" s="8"/>
    </row>
    <row r="37" spans="1:13" x14ac:dyDescent="0.2">
      <c r="A37" s="7"/>
      <c r="B37" s="2"/>
      <c r="C37" s="2"/>
      <c r="D37" s="2"/>
      <c r="E37" s="2"/>
      <c r="F37" s="2"/>
      <c r="G37" s="2"/>
      <c r="H37" s="2"/>
      <c r="I37" s="2"/>
      <c r="J37" s="8"/>
    </row>
    <row r="38" spans="1:13" ht="13.5" thickBot="1" x14ac:dyDescent="0.25">
      <c r="A38" s="7"/>
      <c r="B38" s="2"/>
      <c r="C38" s="2"/>
      <c r="D38" s="2"/>
      <c r="E38" s="2"/>
      <c r="F38" s="2"/>
      <c r="G38" s="2"/>
      <c r="H38" s="2"/>
      <c r="I38" s="2"/>
      <c r="J38" s="8"/>
    </row>
    <row r="39" spans="1:13" ht="13.5" thickBot="1" x14ac:dyDescent="0.25">
      <c r="A39" s="7"/>
      <c r="B39" s="16" t="s">
        <v>179</v>
      </c>
      <c r="C39" s="17"/>
      <c r="D39" s="18">
        <f>ROUND((J9*J10*J11/J12)-1,4)</f>
        <v>0.2334</v>
      </c>
      <c r="E39" s="2"/>
      <c r="F39" s="2" t="s">
        <v>180</v>
      </c>
      <c r="G39" s="2"/>
      <c r="H39" s="2"/>
      <c r="I39" s="2"/>
      <c r="J39" s="8"/>
      <c r="L39" s="19"/>
      <c r="M39" s="20"/>
    </row>
    <row r="40" spans="1:13" x14ac:dyDescent="0.2">
      <c r="A40" s="21"/>
      <c r="B40" s="22"/>
      <c r="C40" s="22"/>
      <c r="D40" s="22"/>
      <c r="E40" s="22"/>
      <c r="F40" s="22"/>
      <c r="G40" s="22"/>
      <c r="H40" s="22"/>
      <c r="I40" s="22"/>
      <c r="J40" s="23"/>
    </row>
    <row r="41" spans="1:13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</row>
    <row r="42" spans="1:13" x14ac:dyDescent="0.2">
      <c r="A42" s="106"/>
      <c r="B42" s="106"/>
      <c r="C42" s="106"/>
      <c r="D42" s="106"/>
      <c r="E42" s="106"/>
      <c r="F42" s="106"/>
      <c r="G42" s="106"/>
      <c r="H42" s="106"/>
      <c r="I42" s="106"/>
      <c r="J42" s="106"/>
    </row>
    <row r="43" spans="1:13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</row>
    <row r="44" spans="1:13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</row>
  </sheetData>
  <mergeCells count="6">
    <mergeCell ref="A44:J44"/>
    <mergeCell ref="A2:J2"/>
    <mergeCell ref="A1:J1"/>
    <mergeCell ref="A41:J41"/>
    <mergeCell ref="A42:J42"/>
    <mergeCell ref="A43:J43"/>
  </mergeCells>
  <printOptions horizontalCentered="1"/>
  <pageMargins left="0.78740157480314965" right="0.78740157480314965" top="1.7716535433070868" bottom="0.78740157480314965" header="0" footer="0"/>
  <pageSetup scale="80" orientation="portrait" r:id="rId1"/>
  <headerFooter>
    <oddHeader>&amp;R&amp;G</oddHeader>
  </headerFooter>
  <colBreaks count="1" manualBreakCount="1">
    <brk id="10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view="pageBreakPreview" zoomScaleNormal="100" zoomScaleSheetLayoutView="100" workbookViewId="0">
      <pane ySplit="7" topLeftCell="A8" activePane="bottomLeft" state="frozen"/>
      <selection pane="bottomLeft" activeCell="D139" sqref="D139"/>
    </sheetView>
  </sheetViews>
  <sheetFormatPr defaultColWidth="9.140625" defaultRowHeight="12" x14ac:dyDescent="0.2"/>
  <cols>
    <col min="1" max="1" width="7.7109375" style="41" customWidth="1"/>
    <col min="2" max="2" width="14.5703125" style="41" bestFit="1" customWidth="1"/>
    <col min="3" max="3" width="46.5703125" style="63" bestFit="1" customWidth="1"/>
    <col min="4" max="4" width="8.7109375" style="41" customWidth="1"/>
    <col min="5" max="5" width="8.7109375" style="35" customWidth="1"/>
    <col min="6" max="6" width="12.7109375" style="35" customWidth="1"/>
    <col min="7" max="10" width="12.7109375" style="53" customWidth="1"/>
    <col min="11" max="16384" width="9.140625" style="35"/>
  </cols>
  <sheetData>
    <row r="1" spans="1:10" s="71" customFormat="1" ht="15.75" x14ac:dyDescent="0.2">
      <c r="A1" s="107" t="s">
        <v>6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1" customFormat="1" ht="15.75" x14ac:dyDescent="0.2">
      <c r="A2" s="107" t="s">
        <v>133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s="65" customFormat="1" ht="12.75" x14ac:dyDescent="0.2">
      <c r="A4" s="65" t="s">
        <v>373</v>
      </c>
      <c r="G4" s="68"/>
      <c r="H4" s="68"/>
      <c r="I4" s="68"/>
      <c r="J4" s="68"/>
    </row>
    <row r="5" spans="1:10" s="65" customFormat="1" ht="12.75" x14ac:dyDescent="0.2">
      <c r="A5" s="70" t="s">
        <v>370</v>
      </c>
      <c r="C5" s="67"/>
      <c r="D5" s="66"/>
      <c r="G5" s="68"/>
      <c r="H5" s="68"/>
      <c r="I5" s="68"/>
      <c r="J5" s="68"/>
    </row>
    <row r="6" spans="1:10" x14ac:dyDescent="0.2">
      <c r="C6" s="48"/>
    </row>
    <row r="7" spans="1:10" s="55" customFormat="1" ht="36" x14ac:dyDescent="0.2">
      <c r="A7" s="54" t="s">
        <v>0</v>
      </c>
      <c r="B7" s="34" t="s">
        <v>261</v>
      </c>
      <c r="C7" s="34" t="s">
        <v>1</v>
      </c>
      <c r="D7" s="34" t="s">
        <v>227</v>
      </c>
      <c r="E7" s="34" t="s">
        <v>2</v>
      </c>
      <c r="F7" s="34" t="s">
        <v>229</v>
      </c>
      <c r="G7" s="47" t="s">
        <v>230</v>
      </c>
      <c r="H7" s="34" t="s">
        <v>244</v>
      </c>
      <c r="I7" s="34" t="s">
        <v>231</v>
      </c>
      <c r="J7" s="34" t="s">
        <v>228</v>
      </c>
    </row>
    <row r="8" spans="1:10" s="39" customFormat="1" x14ac:dyDescent="0.2">
      <c r="A8" s="41"/>
      <c r="B8" s="41"/>
      <c r="C8" s="48"/>
      <c r="D8" s="41"/>
      <c r="E8" s="35"/>
      <c r="F8" s="35"/>
      <c r="G8" s="53"/>
      <c r="H8" s="53"/>
      <c r="I8" s="53"/>
      <c r="J8" s="35"/>
    </row>
    <row r="9" spans="1:10" x14ac:dyDescent="0.2">
      <c r="A9" s="42">
        <v>1</v>
      </c>
      <c r="B9" s="39"/>
      <c r="C9" s="49" t="s">
        <v>48</v>
      </c>
      <c r="D9" s="56"/>
      <c r="E9" s="57"/>
      <c r="F9" s="58"/>
      <c r="G9" s="58"/>
      <c r="H9" s="58"/>
      <c r="I9" s="58"/>
      <c r="J9" s="59"/>
    </row>
    <row r="10" spans="1:10" ht="48" x14ac:dyDescent="0.2">
      <c r="A10" s="39" t="s">
        <v>3</v>
      </c>
      <c r="B10" s="36" t="s">
        <v>320</v>
      </c>
      <c r="C10" s="38" t="s">
        <v>243</v>
      </c>
      <c r="D10" s="50">
        <f>0.8*0.6</f>
        <v>0.48</v>
      </c>
      <c r="E10" s="36" t="s">
        <v>4</v>
      </c>
      <c r="F10" s="45"/>
      <c r="G10" s="37"/>
      <c r="H10" s="37">
        <f t="shared" ref="H10:H15" si="0">ROUND(F10*D10,2)</f>
        <v>0</v>
      </c>
      <c r="I10" s="37">
        <f t="shared" ref="I10:I15" si="1">ROUND(G10*D10,2)</f>
        <v>0</v>
      </c>
      <c r="J10" s="37">
        <f t="shared" ref="J10:J15" si="2">ROUND(H10+I10,2)</f>
        <v>0</v>
      </c>
    </row>
    <row r="11" spans="1:10" x14ac:dyDescent="0.2">
      <c r="A11" s="39" t="s">
        <v>237</v>
      </c>
      <c r="B11" s="36" t="s">
        <v>321</v>
      </c>
      <c r="C11" s="38" t="s">
        <v>74</v>
      </c>
      <c r="D11" s="50">
        <v>40.25</v>
      </c>
      <c r="E11" s="36" t="s">
        <v>4</v>
      </c>
      <c r="F11" s="45"/>
      <c r="G11" s="37"/>
      <c r="H11" s="37">
        <f t="shared" si="0"/>
        <v>0</v>
      </c>
      <c r="I11" s="37">
        <f t="shared" si="1"/>
        <v>0</v>
      </c>
      <c r="J11" s="37">
        <f t="shared" si="2"/>
        <v>0</v>
      </c>
    </row>
    <row r="12" spans="1:10" x14ac:dyDescent="0.2">
      <c r="A12" s="39" t="s">
        <v>318</v>
      </c>
      <c r="B12" s="36" t="s">
        <v>323</v>
      </c>
      <c r="C12" s="38" t="s">
        <v>322</v>
      </c>
      <c r="D12" s="50">
        <v>14.15</v>
      </c>
      <c r="E12" s="36" t="s">
        <v>5</v>
      </c>
      <c r="F12" s="45"/>
      <c r="G12" s="37"/>
      <c r="H12" s="37">
        <f t="shared" si="0"/>
        <v>0</v>
      </c>
      <c r="I12" s="37">
        <f t="shared" si="1"/>
        <v>0</v>
      </c>
      <c r="J12" s="37">
        <f t="shared" si="2"/>
        <v>0</v>
      </c>
    </row>
    <row r="13" spans="1:10" x14ac:dyDescent="0.2">
      <c r="A13" s="39"/>
      <c r="B13" s="36" t="s">
        <v>324</v>
      </c>
      <c r="C13" s="38" t="s">
        <v>325</v>
      </c>
      <c r="D13" s="50">
        <v>18.399999999999999</v>
      </c>
      <c r="E13" s="36" t="s">
        <v>5</v>
      </c>
      <c r="F13" s="45"/>
      <c r="G13" s="37"/>
      <c r="H13" s="37">
        <f t="shared" si="0"/>
        <v>0</v>
      </c>
      <c r="I13" s="37">
        <f t="shared" si="1"/>
        <v>0</v>
      </c>
      <c r="J13" s="37">
        <f t="shared" si="2"/>
        <v>0</v>
      </c>
    </row>
    <row r="14" spans="1:10" x14ac:dyDescent="0.2">
      <c r="A14" s="39"/>
      <c r="B14" s="36" t="s">
        <v>326</v>
      </c>
      <c r="C14" s="38" t="s">
        <v>327</v>
      </c>
      <c r="D14" s="50">
        <v>184</v>
      </c>
      <c r="E14" s="36" t="s">
        <v>328</v>
      </c>
      <c r="F14" s="45"/>
      <c r="G14" s="37"/>
      <c r="H14" s="37">
        <f t="shared" si="0"/>
        <v>0</v>
      </c>
      <c r="I14" s="37">
        <f t="shared" si="1"/>
        <v>0</v>
      </c>
      <c r="J14" s="37">
        <f t="shared" si="2"/>
        <v>0</v>
      </c>
    </row>
    <row r="15" spans="1:10" ht="24" x14ac:dyDescent="0.2">
      <c r="A15" s="39" t="s">
        <v>319</v>
      </c>
      <c r="B15" s="36" t="s">
        <v>329</v>
      </c>
      <c r="C15" s="38" t="s">
        <v>330</v>
      </c>
      <c r="D15" s="50">
        <v>40.25</v>
      </c>
      <c r="E15" s="36" t="s">
        <v>4</v>
      </c>
      <c r="F15" s="45"/>
      <c r="G15" s="37"/>
      <c r="H15" s="37">
        <f t="shared" si="0"/>
        <v>0</v>
      </c>
      <c r="I15" s="37">
        <f t="shared" si="1"/>
        <v>0</v>
      </c>
      <c r="J15" s="37">
        <f t="shared" si="2"/>
        <v>0</v>
      </c>
    </row>
    <row r="16" spans="1:10" s="57" customFormat="1" x14ac:dyDescent="0.2">
      <c r="A16" s="24"/>
      <c r="B16" s="24"/>
      <c r="C16" s="49"/>
      <c r="D16" s="24"/>
      <c r="F16" s="58"/>
      <c r="G16" s="59"/>
      <c r="H16" s="59"/>
      <c r="I16" s="59" t="s">
        <v>151</v>
      </c>
      <c r="J16" s="59">
        <f>SUM(J10:J15)</f>
        <v>0</v>
      </c>
    </row>
    <row r="17" spans="1:11" x14ac:dyDescent="0.2">
      <c r="A17" s="42" t="s">
        <v>181</v>
      </c>
      <c r="B17" s="39"/>
      <c r="C17" s="49" t="s">
        <v>54</v>
      </c>
      <c r="D17" s="56"/>
      <c r="E17" s="42"/>
      <c r="F17" s="60"/>
      <c r="G17" s="40"/>
      <c r="H17" s="40"/>
      <c r="I17" s="40"/>
      <c r="J17" s="40"/>
    </row>
    <row r="18" spans="1:11" x14ac:dyDescent="0.2">
      <c r="A18" s="39" t="s">
        <v>153</v>
      </c>
      <c r="B18" s="36" t="s">
        <v>331</v>
      </c>
      <c r="C18" s="38" t="s">
        <v>99</v>
      </c>
      <c r="D18" s="50">
        <f>(7*2+6.4*3+3.5*2+1.2)*0.5*0.2</f>
        <v>4.1400000000000006</v>
      </c>
      <c r="E18" s="36" t="s">
        <v>5</v>
      </c>
      <c r="F18" s="45"/>
      <c r="G18" s="37"/>
      <c r="H18" s="37">
        <f t="shared" ref="H18:H28" si="3">ROUND(F18*D18,2)</f>
        <v>0</v>
      </c>
      <c r="I18" s="37">
        <f t="shared" ref="I18:I28" si="4">ROUND(G18*D18,2)</f>
        <v>0</v>
      </c>
      <c r="J18" s="37">
        <f>ROUND(H18+I18,2)</f>
        <v>0</v>
      </c>
    </row>
    <row r="19" spans="1:11" x14ac:dyDescent="0.2">
      <c r="A19" s="39" t="s">
        <v>152</v>
      </c>
      <c r="B19" s="36" t="s">
        <v>332</v>
      </c>
      <c r="C19" s="38" t="s">
        <v>100</v>
      </c>
      <c r="D19" s="50">
        <f>31.16*0.2*0.4</f>
        <v>2.4928000000000003</v>
      </c>
      <c r="E19" s="36" t="s">
        <v>5</v>
      </c>
      <c r="F19" s="45"/>
      <c r="G19" s="37"/>
      <c r="H19" s="37">
        <f t="shared" si="3"/>
        <v>0</v>
      </c>
      <c r="I19" s="37">
        <f t="shared" si="4"/>
        <v>0</v>
      </c>
      <c r="J19" s="37">
        <f t="shared" ref="J19:J28" si="5">ROUND(H19+I19,2)</f>
        <v>0</v>
      </c>
    </row>
    <row r="20" spans="1:11" x14ac:dyDescent="0.2">
      <c r="A20" s="39" t="s">
        <v>154</v>
      </c>
      <c r="B20" s="36" t="s">
        <v>333</v>
      </c>
      <c r="C20" s="38" t="s">
        <v>101</v>
      </c>
      <c r="D20" s="50">
        <v>40.25</v>
      </c>
      <c r="E20" s="36" t="s">
        <v>4</v>
      </c>
      <c r="F20" s="45"/>
      <c r="G20" s="37"/>
      <c r="H20" s="37">
        <f t="shared" si="3"/>
        <v>0</v>
      </c>
      <c r="I20" s="37">
        <f t="shared" si="4"/>
        <v>0</v>
      </c>
      <c r="J20" s="37">
        <f t="shared" si="5"/>
        <v>0</v>
      </c>
    </row>
    <row r="21" spans="1:11" x14ac:dyDescent="0.2">
      <c r="A21" s="39" t="s">
        <v>155</v>
      </c>
      <c r="B21" s="36" t="s">
        <v>334</v>
      </c>
      <c r="C21" s="38" t="s">
        <v>102</v>
      </c>
      <c r="D21" s="50">
        <f>56.72*0.7</f>
        <v>39.703999999999994</v>
      </c>
      <c r="E21" s="36" t="s">
        <v>5</v>
      </c>
      <c r="F21" s="45"/>
      <c r="G21" s="37"/>
      <c r="H21" s="37">
        <f t="shared" si="3"/>
        <v>0</v>
      </c>
      <c r="I21" s="37">
        <f t="shared" si="4"/>
        <v>0</v>
      </c>
      <c r="J21" s="37">
        <f t="shared" si="5"/>
        <v>0</v>
      </c>
    </row>
    <row r="22" spans="1:11" x14ac:dyDescent="0.2">
      <c r="A22" s="39" t="s">
        <v>156</v>
      </c>
      <c r="B22" s="36" t="s">
        <v>335</v>
      </c>
      <c r="C22" s="38" t="s">
        <v>58</v>
      </c>
      <c r="D22" s="50">
        <f>13*3.5</f>
        <v>45.5</v>
      </c>
      <c r="E22" s="36" t="s">
        <v>21</v>
      </c>
      <c r="F22" s="45"/>
      <c r="G22" s="37"/>
      <c r="H22" s="37">
        <f t="shared" si="3"/>
        <v>0</v>
      </c>
      <c r="I22" s="37">
        <f t="shared" si="4"/>
        <v>0</v>
      </c>
      <c r="J22" s="37">
        <f t="shared" si="5"/>
        <v>0</v>
      </c>
    </row>
    <row r="23" spans="1:11" x14ac:dyDescent="0.2">
      <c r="A23" s="39" t="s">
        <v>157</v>
      </c>
      <c r="B23" s="36" t="s">
        <v>336</v>
      </c>
      <c r="C23" s="38" t="s">
        <v>59</v>
      </c>
      <c r="D23" s="50">
        <f>(7*2+6.4*3+3.5*2+1.2)*0.1*0.2*1.1+13*3.5*PI()*0.15^2</f>
        <v>4.127005479112551</v>
      </c>
      <c r="E23" s="36" t="s">
        <v>5</v>
      </c>
      <c r="F23" s="45"/>
      <c r="G23" s="37"/>
      <c r="H23" s="37">
        <f t="shared" si="3"/>
        <v>0</v>
      </c>
      <c r="I23" s="37">
        <f t="shared" si="4"/>
        <v>0</v>
      </c>
      <c r="J23" s="37">
        <f t="shared" si="5"/>
        <v>0</v>
      </c>
      <c r="K23" s="57"/>
    </row>
    <row r="24" spans="1:11" x14ac:dyDescent="0.2">
      <c r="A24" s="39" t="s">
        <v>158</v>
      </c>
      <c r="B24" s="36" t="s">
        <v>337</v>
      </c>
      <c r="C24" s="38" t="s">
        <v>103</v>
      </c>
      <c r="D24" s="50">
        <f>D23</f>
        <v>4.127005479112551</v>
      </c>
      <c r="E24" s="36" t="s">
        <v>5</v>
      </c>
      <c r="F24" s="45"/>
      <c r="G24" s="37"/>
      <c r="H24" s="37">
        <f t="shared" si="3"/>
        <v>0</v>
      </c>
      <c r="I24" s="37">
        <f t="shared" si="4"/>
        <v>0</v>
      </c>
      <c r="J24" s="37">
        <f t="shared" si="5"/>
        <v>0</v>
      </c>
      <c r="K24" s="57"/>
    </row>
    <row r="25" spans="1:11" x14ac:dyDescent="0.2">
      <c r="A25" s="39" t="s">
        <v>159</v>
      </c>
      <c r="B25" s="36" t="s">
        <v>338</v>
      </c>
      <c r="C25" s="38" t="s">
        <v>61</v>
      </c>
      <c r="D25" s="50">
        <f>(7*2+6.4*3+3.5*2+1.2)*(4*0.395)+13*6*2*0.395</f>
        <v>127.03200000000001</v>
      </c>
      <c r="E25" s="36" t="s">
        <v>7</v>
      </c>
      <c r="F25" s="45"/>
      <c r="G25" s="37"/>
      <c r="H25" s="37">
        <f t="shared" si="3"/>
        <v>0</v>
      </c>
      <c r="I25" s="37">
        <f t="shared" si="4"/>
        <v>0</v>
      </c>
      <c r="J25" s="37">
        <f t="shared" si="5"/>
        <v>0</v>
      </c>
      <c r="K25" s="57"/>
    </row>
    <row r="26" spans="1:11" x14ac:dyDescent="0.2">
      <c r="A26" s="39" t="s">
        <v>160</v>
      </c>
      <c r="B26" s="36" t="s">
        <v>339</v>
      </c>
      <c r="C26" s="38" t="s">
        <v>62</v>
      </c>
      <c r="D26" s="50">
        <f>(7*2+6.4*3+3.5*2+1.2+13*2)*((0.06*2+0.16*2+0.1)*6.6667*0.109)</f>
        <v>26.447892238800002</v>
      </c>
      <c r="E26" s="36" t="s">
        <v>7</v>
      </c>
      <c r="F26" s="45"/>
      <c r="G26" s="37"/>
      <c r="H26" s="37">
        <f t="shared" si="3"/>
        <v>0</v>
      </c>
      <c r="I26" s="37">
        <f t="shared" si="4"/>
        <v>0</v>
      </c>
      <c r="J26" s="37">
        <f t="shared" si="5"/>
        <v>0</v>
      </c>
    </row>
    <row r="27" spans="1:11" x14ac:dyDescent="0.2">
      <c r="A27" s="39" t="s">
        <v>161</v>
      </c>
      <c r="B27" s="36" t="s">
        <v>340</v>
      </c>
      <c r="C27" s="38" t="s">
        <v>104</v>
      </c>
      <c r="D27" s="50">
        <f>(7*2+6.4*3+3.5*2+1.2)*0.4</f>
        <v>16.560000000000002</v>
      </c>
      <c r="E27" s="36" t="s">
        <v>4</v>
      </c>
      <c r="F27" s="45"/>
      <c r="G27" s="37"/>
      <c r="H27" s="37">
        <f t="shared" si="3"/>
        <v>0</v>
      </c>
      <c r="I27" s="37">
        <f t="shared" si="4"/>
        <v>0</v>
      </c>
      <c r="J27" s="37">
        <f t="shared" si="5"/>
        <v>0</v>
      </c>
    </row>
    <row r="28" spans="1:11" x14ac:dyDescent="0.2">
      <c r="A28" s="39" t="s">
        <v>162</v>
      </c>
      <c r="B28" s="36" t="s">
        <v>341</v>
      </c>
      <c r="C28" s="38" t="s">
        <v>76</v>
      </c>
      <c r="D28" s="50">
        <f>(7*2+6.4*3+3.5*2+1.2)*0.3*2</f>
        <v>24.840000000000003</v>
      </c>
      <c r="E28" s="36" t="s">
        <v>4</v>
      </c>
      <c r="F28" s="45"/>
      <c r="G28" s="37"/>
      <c r="H28" s="37">
        <f t="shared" si="3"/>
        <v>0</v>
      </c>
      <c r="I28" s="37">
        <f t="shared" si="4"/>
        <v>0</v>
      </c>
      <c r="J28" s="37">
        <f t="shared" si="5"/>
        <v>0</v>
      </c>
    </row>
    <row r="29" spans="1:11" s="57" customFormat="1" x14ac:dyDescent="0.2">
      <c r="A29" s="24"/>
      <c r="B29" s="24"/>
      <c r="C29" s="49"/>
      <c r="D29" s="24"/>
      <c r="F29" s="58"/>
      <c r="G29" s="59"/>
      <c r="H29" s="59"/>
      <c r="I29" s="59" t="s">
        <v>151</v>
      </c>
      <c r="J29" s="59">
        <f>SUM(J18:J28)</f>
        <v>0</v>
      </c>
    </row>
    <row r="30" spans="1:11" x14ac:dyDescent="0.2">
      <c r="A30" s="42" t="s">
        <v>8</v>
      </c>
      <c r="B30" s="39"/>
      <c r="C30" s="49" t="s">
        <v>9</v>
      </c>
      <c r="D30" s="56"/>
      <c r="E30" s="42"/>
      <c r="F30" s="60"/>
      <c r="G30" s="40"/>
      <c r="H30" s="40"/>
      <c r="I30" s="40"/>
      <c r="J30" s="40"/>
    </row>
    <row r="31" spans="1:11" x14ac:dyDescent="0.2">
      <c r="A31" s="39" t="s">
        <v>10</v>
      </c>
      <c r="B31" s="36" t="s">
        <v>342</v>
      </c>
      <c r="C31" s="38" t="s">
        <v>75</v>
      </c>
      <c r="D31" s="50">
        <f>(6*2+5.4*3+3.5*2+1.2)*2.8+3.5*1.05*2</f>
        <v>109.27000000000001</v>
      </c>
      <c r="E31" s="36" t="s">
        <v>4</v>
      </c>
      <c r="F31" s="45"/>
      <c r="G31" s="37"/>
      <c r="H31" s="37">
        <f t="shared" ref="H31:H37" si="6">ROUND(F31*D31,2)</f>
        <v>0</v>
      </c>
      <c r="I31" s="37">
        <f t="shared" ref="I31:I37" si="7">ROUND(G31*D31,2)</f>
        <v>0</v>
      </c>
      <c r="J31" s="37">
        <f>ROUND(H31+I31,2)</f>
        <v>0</v>
      </c>
    </row>
    <row r="32" spans="1:11" x14ac:dyDescent="0.2">
      <c r="A32" s="39" t="s">
        <v>11</v>
      </c>
      <c r="B32" s="36" t="s">
        <v>343</v>
      </c>
      <c r="C32" s="38" t="s">
        <v>105</v>
      </c>
      <c r="D32" s="51">
        <f>(6*2+5.4*3+3.5*2+1.2+(13*2.8))*0.1*0.15*1.1</f>
        <v>1.2012000000000003</v>
      </c>
      <c r="E32" s="36" t="s">
        <v>5</v>
      </c>
      <c r="F32" s="45"/>
      <c r="G32" s="37"/>
      <c r="H32" s="37">
        <f t="shared" si="6"/>
        <v>0</v>
      </c>
      <c r="I32" s="37">
        <f t="shared" si="7"/>
        <v>0</v>
      </c>
      <c r="J32" s="37">
        <f t="shared" ref="J32:J37" si="8">ROUND(H32+I32,2)</f>
        <v>0</v>
      </c>
    </row>
    <row r="33" spans="1:10" x14ac:dyDescent="0.2">
      <c r="A33" s="39" t="s">
        <v>12</v>
      </c>
      <c r="B33" s="36" t="s">
        <v>344</v>
      </c>
      <c r="C33" s="38" t="s">
        <v>60</v>
      </c>
      <c r="D33" s="50">
        <f>D32</f>
        <v>1.2012000000000003</v>
      </c>
      <c r="E33" s="36" t="s">
        <v>5</v>
      </c>
      <c r="F33" s="45"/>
      <c r="G33" s="37"/>
      <c r="H33" s="37">
        <f t="shared" si="6"/>
        <v>0</v>
      </c>
      <c r="I33" s="37">
        <f t="shared" si="7"/>
        <v>0</v>
      </c>
      <c r="J33" s="37">
        <f t="shared" si="8"/>
        <v>0</v>
      </c>
    </row>
    <row r="34" spans="1:10" x14ac:dyDescent="0.2">
      <c r="A34" s="39" t="s">
        <v>47</v>
      </c>
      <c r="B34" s="36" t="s">
        <v>345</v>
      </c>
      <c r="C34" s="38" t="s">
        <v>63</v>
      </c>
      <c r="D34" s="50">
        <f>(6*2+5.4*3+3.5*2+1.2+(13*2.8))*(4*0.312)</f>
        <v>90.854400000000012</v>
      </c>
      <c r="E34" s="36" t="s">
        <v>7</v>
      </c>
      <c r="F34" s="45"/>
      <c r="G34" s="37"/>
      <c r="H34" s="37">
        <f t="shared" si="6"/>
        <v>0</v>
      </c>
      <c r="I34" s="37">
        <f t="shared" si="7"/>
        <v>0</v>
      </c>
      <c r="J34" s="37">
        <f t="shared" si="8"/>
        <v>0</v>
      </c>
    </row>
    <row r="35" spans="1:10" x14ac:dyDescent="0.2">
      <c r="A35" s="39" t="s">
        <v>65</v>
      </c>
      <c r="B35" s="36" t="s">
        <v>346</v>
      </c>
      <c r="C35" s="38" t="s">
        <v>64</v>
      </c>
      <c r="D35" s="50">
        <f>(6*2+5.4*3+3.5*2+1.2+(13*2.8))*((0.06*2+0.11*2+0.1)*6.6667*0.109)</f>
        <v>23.276703049600002</v>
      </c>
      <c r="E35" s="36" t="s">
        <v>7</v>
      </c>
      <c r="F35" s="45"/>
      <c r="G35" s="37"/>
      <c r="H35" s="37">
        <f t="shared" si="6"/>
        <v>0</v>
      </c>
      <c r="I35" s="37">
        <f t="shared" si="7"/>
        <v>0</v>
      </c>
      <c r="J35" s="37">
        <f t="shared" si="8"/>
        <v>0</v>
      </c>
    </row>
    <row r="36" spans="1:10" x14ac:dyDescent="0.2">
      <c r="A36" s="39" t="s">
        <v>66</v>
      </c>
      <c r="B36" s="36" t="s">
        <v>347</v>
      </c>
      <c r="C36" s="38" t="s">
        <v>144</v>
      </c>
      <c r="D36" s="50">
        <f>(6*2+5.4*3+3.5*2+1.2+(13*2.8))*0.2*2</f>
        <v>29.120000000000005</v>
      </c>
      <c r="E36" s="36" t="s">
        <v>4</v>
      </c>
      <c r="F36" s="45"/>
      <c r="G36" s="37"/>
      <c r="H36" s="37">
        <f t="shared" si="6"/>
        <v>0</v>
      </c>
      <c r="I36" s="37">
        <f t="shared" si="7"/>
        <v>0</v>
      </c>
      <c r="J36" s="37">
        <f t="shared" si="8"/>
        <v>0</v>
      </c>
    </row>
    <row r="37" spans="1:10" x14ac:dyDescent="0.2">
      <c r="A37" s="39" t="s">
        <v>72</v>
      </c>
      <c r="B37" s="36" t="s">
        <v>348</v>
      </c>
      <c r="C37" s="38" t="s">
        <v>73</v>
      </c>
      <c r="D37" s="50">
        <v>3.46</v>
      </c>
      <c r="E37" s="36" t="s">
        <v>4</v>
      </c>
      <c r="F37" s="45"/>
      <c r="G37" s="37"/>
      <c r="H37" s="37">
        <f t="shared" si="6"/>
        <v>0</v>
      </c>
      <c r="I37" s="37">
        <f t="shared" si="7"/>
        <v>0</v>
      </c>
      <c r="J37" s="37">
        <f t="shared" si="8"/>
        <v>0</v>
      </c>
    </row>
    <row r="38" spans="1:10" s="57" customFormat="1" x14ac:dyDescent="0.2">
      <c r="A38" s="24"/>
      <c r="B38" s="24"/>
      <c r="C38" s="49"/>
      <c r="D38" s="24"/>
      <c r="F38" s="58"/>
      <c r="G38" s="59"/>
      <c r="H38" s="59"/>
      <c r="I38" s="59" t="s">
        <v>151</v>
      </c>
      <c r="J38" s="59">
        <f>SUM(J31:J37)</f>
        <v>0</v>
      </c>
    </row>
    <row r="39" spans="1:10" x14ac:dyDescent="0.2">
      <c r="A39" s="42" t="s">
        <v>13</v>
      </c>
      <c r="B39" s="39"/>
      <c r="C39" s="49" t="s">
        <v>51</v>
      </c>
      <c r="D39" s="56"/>
      <c r="E39" s="42"/>
      <c r="F39" s="60"/>
      <c r="G39" s="40"/>
      <c r="H39" s="40"/>
      <c r="I39" s="40"/>
      <c r="J39" s="40"/>
    </row>
    <row r="40" spans="1:10" x14ac:dyDescent="0.2">
      <c r="A40" s="39" t="s">
        <v>14</v>
      </c>
      <c r="B40" s="36" t="s">
        <v>349</v>
      </c>
      <c r="C40" s="38" t="s">
        <v>91</v>
      </c>
      <c r="D40" s="50">
        <f>D31*2</f>
        <v>218.54000000000002</v>
      </c>
      <c r="E40" s="36" t="s">
        <v>4</v>
      </c>
      <c r="F40" s="45"/>
      <c r="G40" s="64"/>
      <c r="H40" s="37">
        <f t="shared" ref="H40:H46" si="9">ROUND(F40*D40,2)</f>
        <v>0</v>
      </c>
      <c r="I40" s="37">
        <f t="shared" ref="I40:I46" si="10">ROUND(G40*D40,2)</f>
        <v>0</v>
      </c>
      <c r="J40" s="37">
        <f>ROUND(H40+I40,2)</f>
        <v>0</v>
      </c>
    </row>
    <row r="41" spans="1:10" x14ac:dyDescent="0.2">
      <c r="A41" s="39" t="s">
        <v>15</v>
      </c>
      <c r="B41" s="36" t="s">
        <v>350</v>
      </c>
      <c r="C41" s="38" t="s">
        <v>106</v>
      </c>
      <c r="D41" s="50">
        <f>D31*2</f>
        <v>218.54000000000002</v>
      </c>
      <c r="E41" s="36" t="s">
        <v>4</v>
      </c>
      <c r="F41" s="45"/>
      <c r="G41" s="64"/>
      <c r="H41" s="37">
        <f t="shared" si="9"/>
        <v>0</v>
      </c>
      <c r="I41" s="37">
        <f t="shared" si="10"/>
        <v>0</v>
      </c>
      <c r="J41" s="37">
        <f t="shared" ref="J41:J46" si="11">ROUND(H41+I41,2)</f>
        <v>0</v>
      </c>
    </row>
    <row r="42" spans="1:10" x14ac:dyDescent="0.2">
      <c r="A42" s="39" t="s">
        <v>45</v>
      </c>
      <c r="B42" s="36" t="s">
        <v>351</v>
      </c>
      <c r="C42" s="38" t="s">
        <v>107</v>
      </c>
      <c r="D42" s="50">
        <f>(6*2+5.4*3+3.5*2+1.2)*2</f>
        <v>72.800000000000011</v>
      </c>
      <c r="E42" s="36" t="s">
        <v>21</v>
      </c>
      <c r="F42" s="45"/>
      <c r="G42" s="64"/>
      <c r="H42" s="37">
        <f t="shared" si="9"/>
        <v>0</v>
      </c>
      <c r="I42" s="37">
        <f t="shared" si="10"/>
        <v>0</v>
      </c>
      <c r="J42" s="37">
        <f t="shared" si="11"/>
        <v>0</v>
      </c>
    </row>
    <row r="43" spans="1:10" x14ac:dyDescent="0.2">
      <c r="A43" s="39" t="s">
        <v>52</v>
      </c>
      <c r="B43" s="36" t="s">
        <v>352</v>
      </c>
      <c r="C43" s="38" t="s">
        <v>145</v>
      </c>
      <c r="D43" s="50">
        <v>16.07</v>
      </c>
      <c r="E43" s="36" t="s">
        <v>4</v>
      </c>
      <c r="F43" s="45"/>
      <c r="G43" s="64"/>
      <c r="H43" s="37">
        <f t="shared" si="9"/>
        <v>0</v>
      </c>
      <c r="I43" s="37">
        <f t="shared" si="10"/>
        <v>0</v>
      </c>
      <c r="J43" s="37">
        <f t="shared" si="11"/>
        <v>0</v>
      </c>
    </row>
    <row r="44" spans="1:10" x14ac:dyDescent="0.2">
      <c r="A44" s="39" t="s">
        <v>53</v>
      </c>
      <c r="B44" s="36" t="s">
        <v>353</v>
      </c>
      <c r="C44" s="38" t="s">
        <v>69</v>
      </c>
      <c r="D44" s="50">
        <v>13.72</v>
      </c>
      <c r="E44" s="36" t="s">
        <v>4</v>
      </c>
      <c r="F44" s="45"/>
      <c r="G44" s="64"/>
      <c r="H44" s="37">
        <f t="shared" si="9"/>
        <v>0</v>
      </c>
      <c r="I44" s="37">
        <f t="shared" si="10"/>
        <v>0</v>
      </c>
      <c r="J44" s="37">
        <f t="shared" si="11"/>
        <v>0</v>
      </c>
    </row>
    <row r="45" spans="1:10" x14ac:dyDescent="0.2">
      <c r="A45" s="39" t="s">
        <v>70</v>
      </c>
      <c r="B45" s="36" t="s">
        <v>354</v>
      </c>
      <c r="C45" s="38" t="s">
        <v>108</v>
      </c>
      <c r="D45" s="50">
        <f>(7.28+7.68+2.38+1.08+6.89+10.14)*1.05</f>
        <v>37.222500000000004</v>
      </c>
      <c r="E45" s="36" t="s">
        <v>4</v>
      </c>
      <c r="F45" s="45"/>
      <c r="G45" s="64"/>
      <c r="H45" s="37">
        <f t="shared" si="9"/>
        <v>0</v>
      </c>
      <c r="I45" s="37">
        <f t="shared" si="10"/>
        <v>0</v>
      </c>
      <c r="J45" s="37">
        <f t="shared" ref="J45" si="12">ROUND(H45+I45,2)</f>
        <v>0</v>
      </c>
    </row>
    <row r="46" spans="1:10" x14ac:dyDescent="0.2">
      <c r="A46" s="39" t="s">
        <v>70</v>
      </c>
      <c r="B46" s="36" t="s">
        <v>365</v>
      </c>
      <c r="C46" s="38" t="s">
        <v>366</v>
      </c>
      <c r="D46" s="50">
        <v>0.69</v>
      </c>
      <c r="E46" s="36" t="s">
        <v>4</v>
      </c>
      <c r="F46" s="45"/>
      <c r="G46" s="64"/>
      <c r="H46" s="37">
        <f t="shared" si="9"/>
        <v>0</v>
      </c>
      <c r="I46" s="37">
        <f t="shared" si="10"/>
        <v>0</v>
      </c>
      <c r="J46" s="37">
        <f t="shared" si="11"/>
        <v>0</v>
      </c>
    </row>
    <row r="47" spans="1:10" s="57" customFormat="1" x14ac:dyDescent="0.2">
      <c r="A47" s="24"/>
      <c r="B47" s="24"/>
      <c r="C47" s="49"/>
      <c r="D47" s="24"/>
      <c r="F47" s="58"/>
      <c r="G47" s="59"/>
      <c r="H47" s="59"/>
      <c r="I47" s="59" t="s">
        <v>151</v>
      </c>
      <c r="J47" s="59">
        <f>SUM(J40:J46)</f>
        <v>0</v>
      </c>
    </row>
    <row r="48" spans="1:10" x14ac:dyDescent="0.2">
      <c r="A48" s="42" t="s">
        <v>16</v>
      </c>
      <c r="B48" s="39"/>
      <c r="C48" s="49" t="s">
        <v>17</v>
      </c>
      <c r="D48" s="56"/>
      <c r="E48" s="42"/>
      <c r="F48" s="60"/>
      <c r="G48" s="40"/>
      <c r="H48" s="40"/>
      <c r="I48" s="40"/>
      <c r="J48" s="40"/>
    </row>
    <row r="49" spans="1:10" x14ac:dyDescent="0.2">
      <c r="A49" s="39" t="s">
        <v>18</v>
      </c>
      <c r="B49" s="36" t="s">
        <v>355</v>
      </c>
      <c r="C49" s="38" t="s">
        <v>90</v>
      </c>
      <c r="D49" s="50">
        <v>48.96</v>
      </c>
      <c r="E49" s="36" t="s">
        <v>4</v>
      </c>
      <c r="F49" s="45"/>
      <c r="G49" s="37"/>
      <c r="H49" s="37">
        <f>ROUND(F49*D49,2)</f>
        <v>0</v>
      </c>
      <c r="I49" s="37">
        <f>ROUND(G49*D49,2)</f>
        <v>0</v>
      </c>
      <c r="J49" s="37">
        <f>ROUND(H49+I49,2)</f>
        <v>0</v>
      </c>
    </row>
    <row r="50" spans="1:10" x14ac:dyDescent="0.2">
      <c r="A50" s="39" t="s">
        <v>19</v>
      </c>
      <c r="B50" s="36" t="s">
        <v>356</v>
      </c>
      <c r="C50" s="38" t="s">
        <v>49</v>
      </c>
      <c r="D50" s="50">
        <v>48.96</v>
      </c>
      <c r="E50" s="36" t="s">
        <v>4</v>
      </c>
      <c r="F50" s="45"/>
      <c r="G50" s="37"/>
      <c r="H50" s="37">
        <f>ROUND(F50*D50,2)</f>
        <v>0</v>
      </c>
      <c r="I50" s="37">
        <f>ROUND(G50*D50,2)</f>
        <v>0</v>
      </c>
      <c r="J50" s="37">
        <f t="shared" ref="J50:J52" si="13">ROUND(H50+I50,2)</f>
        <v>0</v>
      </c>
    </row>
    <row r="51" spans="1:10" x14ac:dyDescent="0.2">
      <c r="A51" s="39" t="s">
        <v>68</v>
      </c>
      <c r="B51" s="36" t="s">
        <v>357</v>
      </c>
      <c r="C51" s="38" t="s">
        <v>67</v>
      </c>
      <c r="D51" s="50">
        <v>12.8</v>
      </c>
      <c r="E51" s="36" t="s">
        <v>21</v>
      </c>
      <c r="F51" s="45"/>
      <c r="G51" s="37"/>
      <c r="H51" s="37">
        <f>ROUND(F51*D51,2)</f>
        <v>0</v>
      </c>
      <c r="I51" s="37">
        <f>ROUND(G51*D51,2)</f>
        <v>0</v>
      </c>
      <c r="J51" s="37">
        <f t="shared" si="13"/>
        <v>0</v>
      </c>
    </row>
    <row r="52" spans="1:10" x14ac:dyDescent="0.2">
      <c r="A52" s="39" t="s">
        <v>43</v>
      </c>
      <c r="B52" s="36" t="s">
        <v>358</v>
      </c>
      <c r="C52" s="38" t="s">
        <v>50</v>
      </c>
      <c r="D52" s="50">
        <v>6.4</v>
      </c>
      <c r="E52" s="36" t="s">
        <v>21</v>
      </c>
      <c r="F52" s="45"/>
      <c r="G52" s="37"/>
      <c r="H52" s="37">
        <f>ROUND(F52*D52,2)</f>
        <v>0</v>
      </c>
      <c r="I52" s="37">
        <f>ROUND(G52*D52,2)</f>
        <v>0</v>
      </c>
      <c r="J52" s="37">
        <f t="shared" si="13"/>
        <v>0</v>
      </c>
    </row>
    <row r="53" spans="1:10" s="57" customFormat="1" x14ac:dyDescent="0.2">
      <c r="A53" s="24"/>
      <c r="B53" s="24"/>
      <c r="C53" s="49"/>
      <c r="D53" s="24"/>
      <c r="F53" s="58"/>
      <c r="G53" s="59"/>
      <c r="H53" s="59"/>
      <c r="I53" s="59" t="s">
        <v>151</v>
      </c>
      <c r="J53" s="59">
        <f>SUM(J49:J52)</f>
        <v>0</v>
      </c>
    </row>
    <row r="54" spans="1:10" x14ac:dyDescent="0.2">
      <c r="A54" s="42" t="s">
        <v>22</v>
      </c>
      <c r="B54" s="39"/>
      <c r="C54" s="49" t="s">
        <v>23</v>
      </c>
      <c r="D54" s="56"/>
      <c r="E54" s="42"/>
      <c r="F54" s="60"/>
      <c r="G54" s="40"/>
      <c r="H54" s="40"/>
      <c r="I54" s="40"/>
      <c r="J54" s="40"/>
    </row>
    <row r="55" spans="1:10" x14ac:dyDescent="0.2">
      <c r="A55" s="39" t="s">
        <v>24</v>
      </c>
      <c r="B55" s="36" t="s">
        <v>359</v>
      </c>
      <c r="C55" s="38" t="s">
        <v>143</v>
      </c>
      <c r="D55" s="50">
        <f>3*0.7*2.1+1*0.8*2.1+1*0.6*2.1</f>
        <v>7.35</v>
      </c>
      <c r="E55" s="36" t="s">
        <v>4</v>
      </c>
      <c r="F55" s="45"/>
      <c r="G55" s="37"/>
      <c r="H55" s="37">
        <f>ROUND(F55*D55,2)</f>
        <v>0</v>
      </c>
      <c r="I55" s="37">
        <f>ROUND(G55*D55,2)</f>
        <v>0</v>
      </c>
      <c r="J55" s="37">
        <f>ROUND(H55+I55,2)</f>
        <v>0</v>
      </c>
    </row>
    <row r="56" spans="1:10" ht="24" x14ac:dyDescent="0.2">
      <c r="A56" s="39" t="s">
        <v>25</v>
      </c>
      <c r="B56" s="36" t="s">
        <v>360</v>
      </c>
      <c r="C56" s="38" t="s">
        <v>371</v>
      </c>
      <c r="D56" s="50">
        <f>4*1.2*1+(0.4*0.4)</f>
        <v>4.96</v>
      </c>
      <c r="E56" s="36" t="s">
        <v>4</v>
      </c>
      <c r="F56" s="45"/>
      <c r="G56" s="64"/>
      <c r="H56" s="37">
        <f>ROUND(F56*D56,2)</f>
        <v>0</v>
      </c>
      <c r="I56" s="37">
        <f>ROUND(G56*D56,2)</f>
        <v>0</v>
      </c>
      <c r="J56" s="37">
        <f t="shared" ref="J56:J58" si="14">ROUND(H56+I56,2)</f>
        <v>0</v>
      </c>
    </row>
    <row r="57" spans="1:10" x14ac:dyDescent="0.2">
      <c r="A57" s="39" t="s">
        <v>26</v>
      </c>
      <c r="B57" s="36" t="s">
        <v>361</v>
      </c>
      <c r="C57" s="38" t="s">
        <v>109</v>
      </c>
      <c r="D57" s="50">
        <v>5</v>
      </c>
      <c r="E57" s="36" t="s">
        <v>20</v>
      </c>
      <c r="F57" s="45"/>
      <c r="G57" s="64"/>
      <c r="H57" s="37">
        <f>ROUND(F57*D57,2)</f>
        <v>0</v>
      </c>
      <c r="I57" s="37">
        <f>ROUND(G57*D57,2)</f>
        <v>0</v>
      </c>
      <c r="J57" s="37">
        <f t="shared" si="14"/>
        <v>0</v>
      </c>
    </row>
    <row r="58" spans="1:10" x14ac:dyDescent="0.2">
      <c r="A58" s="39" t="s">
        <v>27</v>
      </c>
      <c r="B58" s="36" t="s">
        <v>362</v>
      </c>
      <c r="C58" s="38" t="s">
        <v>92</v>
      </c>
      <c r="D58" s="50">
        <v>15</v>
      </c>
      <c r="E58" s="36" t="s">
        <v>20</v>
      </c>
      <c r="F58" s="45"/>
      <c r="G58" s="64"/>
      <c r="H58" s="37">
        <f>ROUND(F58*D58,2)</f>
        <v>0</v>
      </c>
      <c r="I58" s="37">
        <f>ROUND(G58*D58,2)</f>
        <v>0</v>
      </c>
      <c r="J58" s="37">
        <f t="shared" si="14"/>
        <v>0</v>
      </c>
    </row>
    <row r="59" spans="1:10" s="57" customFormat="1" x14ac:dyDescent="0.2">
      <c r="A59" s="24"/>
      <c r="B59" s="24"/>
      <c r="C59" s="49"/>
      <c r="D59" s="24"/>
      <c r="F59" s="58"/>
      <c r="G59" s="59"/>
      <c r="H59" s="59"/>
      <c r="I59" s="59" t="s">
        <v>151</v>
      </c>
      <c r="J59" s="59">
        <f>SUM(J55:J58)</f>
        <v>0</v>
      </c>
    </row>
    <row r="60" spans="1:10" x14ac:dyDescent="0.2">
      <c r="A60" s="42" t="s">
        <v>28</v>
      </c>
      <c r="B60" s="39"/>
      <c r="C60" s="49" t="s">
        <v>31</v>
      </c>
      <c r="D60" s="56"/>
      <c r="E60" s="42"/>
      <c r="F60" s="60"/>
      <c r="G60" s="40"/>
      <c r="H60" s="40"/>
      <c r="I60" s="40"/>
      <c r="J60" s="40"/>
    </row>
    <row r="61" spans="1:10" x14ac:dyDescent="0.2">
      <c r="A61" s="39" t="s">
        <v>29</v>
      </c>
      <c r="B61" s="36" t="s">
        <v>363</v>
      </c>
      <c r="C61" s="38" t="s">
        <v>71</v>
      </c>
      <c r="D61" s="50">
        <f>D40</f>
        <v>218.54000000000002</v>
      </c>
      <c r="E61" s="36" t="s">
        <v>4</v>
      </c>
      <c r="F61" s="45"/>
      <c r="G61" s="37"/>
      <c r="H61" s="37">
        <f>ROUND(F61*D61,2)</f>
        <v>0</v>
      </c>
      <c r="I61" s="37">
        <f>ROUND(G61*D61,2)</f>
        <v>0</v>
      </c>
      <c r="J61" s="37">
        <f>ROUND(H61+I61,2)</f>
        <v>0</v>
      </c>
    </row>
    <row r="62" spans="1:10" x14ac:dyDescent="0.2">
      <c r="A62" s="39" t="s">
        <v>30</v>
      </c>
      <c r="B62" s="36" t="s">
        <v>364</v>
      </c>
      <c r="C62" s="38" t="s">
        <v>93</v>
      </c>
      <c r="D62" s="50">
        <f>(D55+D56)*3</f>
        <v>36.929999999999993</v>
      </c>
      <c r="E62" s="36" t="s">
        <v>4</v>
      </c>
      <c r="F62" s="45"/>
      <c r="G62" s="37"/>
      <c r="H62" s="37">
        <f>ROUND(F62*D62,2)</f>
        <v>0</v>
      </c>
      <c r="I62" s="37">
        <f>ROUND(G62*D62,2)</f>
        <v>0</v>
      </c>
      <c r="J62" s="37">
        <f>ROUND(H62+I62,2)</f>
        <v>0</v>
      </c>
    </row>
    <row r="63" spans="1:10" s="57" customFormat="1" x14ac:dyDescent="0.2">
      <c r="A63" s="24"/>
      <c r="B63" s="24"/>
      <c r="C63" s="49"/>
      <c r="D63" s="24"/>
      <c r="F63" s="58"/>
      <c r="G63" s="59"/>
      <c r="H63" s="59"/>
      <c r="I63" s="59" t="s">
        <v>151</v>
      </c>
      <c r="J63" s="59">
        <f>SUM(J61:J62)</f>
        <v>0</v>
      </c>
    </row>
    <row r="64" spans="1:10" x14ac:dyDescent="0.2">
      <c r="A64" s="42" t="s">
        <v>32</v>
      </c>
      <c r="B64" s="39"/>
      <c r="C64" s="49" t="s">
        <v>35</v>
      </c>
      <c r="D64" s="56"/>
      <c r="E64" s="42"/>
      <c r="F64" s="60"/>
      <c r="G64" s="40"/>
      <c r="H64" s="40"/>
      <c r="I64" s="40"/>
      <c r="J64" s="40"/>
    </row>
    <row r="65" spans="1:10" x14ac:dyDescent="0.2">
      <c r="A65" s="39" t="s">
        <v>33</v>
      </c>
      <c r="B65" s="36" t="s">
        <v>262</v>
      </c>
      <c r="C65" s="38" t="s">
        <v>94</v>
      </c>
      <c r="D65" s="50">
        <v>1</v>
      </c>
      <c r="E65" s="36" t="s">
        <v>20</v>
      </c>
      <c r="F65" s="45"/>
      <c r="G65" s="64"/>
      <c r="H65" s="37">
        <f t="shared" ref="H65:H72" si="15">ROUND(F65*D65,2)</f>
        <v>0</v>
      </c>
      <c r="I65" s="37">
        <f t="shared" ref="I65:I72" si="16">ROUND(G65*D65,2)</f>
        <v>0</v>
      </c>
      <c r="J65" s="37">
        <f>ROUND(H65+I65,2)</f>
        <v>0</v>
      </c>
    </row>
    <row r="66" spans="1:10" x14ac:dyDescent="0.2">
      <c r="A66" s="39" t="s">
        <v>34</v>
      </c>
      <c r="B66" s="36" t="s">
        <v>263</v>
      </c>
      <c r="C66" s="38" t="s">
        <v>95</v>
      </c>
      <c r="D66" s="50">
        <v>1</v>
      </c>
      <c r="E66" s="36" t="s">
        <v>20</v>
      </c>
      <c r="F66" s="45"/>
      <c r="G66" s="37"/>
      <c r="H66" s="37">
        <f t="shared" si="15"/>
        <v>0</v>
      </c>
      <c r="I66" s="37">
        <f t="shared" si="16"/>
        <v>0</v>
      </c>
      <c r="J66" s="37">
        <f t="shared" ref="J66:J72" si="17">ROUND(H66+I66,2)</f>
        <v>0</v>
      </c>
    </row>
    <row r="67" spans="1:10" x14ac:dyDescent="0.2">
      <c r="A67" s="39" t="s">
        <v>187</v>
      </c>
      <c r="B67" s="36" t="s">
        <v>264</v>
      </c>
      <c r="C67" s="38" t="s">
        <v>96</v>
      </c>
      <c r="D67" s="50">
        <v>1</v>
      </c>
      <c r="E67" s="36" t="s">
        <v>20</v>
      </c>
      <c r="F67" s="45"/>
      <c r="G67" s="37"/>
      <c r="H67" s="37">
        <f t="shared" si="15"/>
        <v>0</v>
      </c>
      <c r="I67" s="37">
        <f t="shared" si="16"/>
        <v>0</v>
      </c>
      <c r="J67" s="37">
        <f t="shared" si="17"/>
        <v>0</v>
      </c>
    </row>
    <row r="68" spans="1:10" x14ac:dyDescent="0.2">
      <c r="A68" s="39" t="s">
        <v>188</v>
      </c>
      <c r="B68" s="36" t="s">
        <v>265</v>
      </c>
      <c r="C68" s="38" t="s">
        <v>186</v>
      </c>
      <c r="D68" s="50">
        <v>1</v>
      </c>
      <c r="E68" s="36" t="s">
        <v>20</v>
      </c>
      <c r="F68" s="45"/>
      <c r="G68" s="37"/>
      <c r="H68" s="37">
        <f t="shared" si="15"/>
        <v>0</v>
      </c>
      <c r="I68" s="37">
        <f t="shared" si="16"/>
        <v>0</v>
      </c>
      <c r="J68" s="37">
        <f t="shared" si="17"/>
        <v>0</v>
      </c>
    </row>
    <row r="69" spans="1:10" x14ac:dyDescent="0.2">
      <c r="A69" s="39" t="s">
        <v>189</v>
      </c>
      <c r="B69" s="36" t="s">
        <v>266</v>
      </c>
      <c r="C69" s="38" t="s">
        <v>110</v>
      </c>
      <c r="D69" s="50">
        <v>1</v>
      </c>
      <c r="E69" s="36" t="s">
        <v>20</v>
      </c>
      <c r="F69" s="45"/>
      <c r="G69" s="37"/>
      <c r="H69" s="37">
        <f t="shared" si="15"/>
        <v>0</v>
      </c>
      <c r="I69" s="37">
        <f t="shared" si="16"/>
        <v>0</v>
      </c>
      <c r="J69" s="37">
        <f t="shared" si="17"/>
        <v>0</v>
      </c>
    </row>
    <row r="70" spans="1:10" x14ac:dyDescent="0.2">
      <c r="A70" s="39" t="s">
        <v>190</v>
      </c>
      <c r="B70" s="36" t="s">
        <v>267</v>
      </c>
      <c r="C70" s="38" t="s">
        <v>111</v>
      </c>
      <c r="D70" s="50">
        <v>1</v>
      </c>
      <c r="E70" s="36" t="s">
        <v>20</v>
      </c>
      <c r="F70" s="45"/>
      <c r="G70" s="37"/>
      <c r="H70" s="37">
        <f t="shared" si="15"/>
        <v>0</v>
      </c>
      <c r="I70" s="37">
        <f t="shared" si="16"/>
        <v>0</v>
      </c>
      <c r="J70" s="37">
        <f t="shared" si="17"/>
        <v>0</v>
      </c>
    </row>
    <row r="71" spans="1:10" x14ac:dyDescent="0.2">
      <c r="A71" s="39" t="s">
        <v>191</v>
      </c>
      <c r="B71" s="36" t="s">
        <v>268</v>
      </c>
      <c r="C71" s="38" t="s">
        <v>97</v>
      </c>
      <c r="D71" s="50">
        <v>1</v>
      </c>
      <c r="E71" s="36" t="s">
        <v>20</v>
      </c>
      <c r="F71" s="45"/>
      <c r="G71" s="37"/>
      <c r="H71" s="37">
        <f t="shared" si="15"/>
        <v>0</v>
      </c>
      <c r="I71" s="37">
        <f t="shared" si="16"/>
        <v>0</v>
      </c>
      <c r="J71" s="37">
        <f t="shared" si="17"/>
        <v>0</v>
      </c>
    </row>
    <row r="72" spans="1:10" x14ac:dyDescent="0.2">
      <c r="A72" s="39" t="s">
        <v>192</v>
      </c>
      <c r="B72" s="36" t="s">
        <v>269</v>
      </c>
      <c r="C72" s="38" t="s">
        <v>98</v>
      </c>
      <c r="D72" s="50">
        <v>1</v>
      </c>
      <c r="E72" s="36" t="s">
        <v>20</v>
      </c>
      <c r="F72" s="45"/>
      <c r="G72" s="37"/>
      <c r="H72" s="37">
        <f t="shared" si="15"/>
        <v>0</v>
      </c>
      <c r="I72" s="37">
        <f t="shared" si="16"/>
        <v>0</v>
      </c>
      <c r="J72" s="37">
        <f t="shared" si="17"/>
        <v>0</v>
      </c>
    </row>
    <row r="73" spans="1:10" s="57" customFormat="1" x14ac:dyDescent="0.2">
      <c r="A73" s="24"/>
      <c r="B73" s="24"/>
      <c r="C73" s="49"/>
      <c r="D73" s="24"/>
      <c r="F73" s="58"/>
      <c r="G73" s="59"/>
      <c r="H73" s="59"/>
      <c r="I73" s="59" t="s">
        <v>151</v>
      </c>
      <c r="J73" s="59">
        <f>SUM(J65:J72)</f>
        <v>0</v>
      </c>
    </row>
    <row r="74" spans="1:10" x14ac:dyDescent="0.2">
      <c r="A74" s="42" t="s">
        <v>36</v>
      </c>
      <c r="B74" s="39"/>
      <c r="C74" s="49" t="s">
        <v>40</v>
      </c>
      <c r="D74" s="52"/>
      <c r="E74" s="39"/>
      <c r="F74" s="46"/>
      <c r="G74" s="40"/>
      <c r="H74" s="40"/>
      <c r="I74" s="40"/>
      <c r="J74" s="40"/>
    </row>
    <row r="75" spans="1:10" x14ac:dyDescent="0.2">
      <c r="A75" s="39" t="s">
        <v>37</v>
      </c>
      <c r="B75" s="36" t="s">
        <v>270</v>
      </c>
      <c r="C75" s="38" t="s">
        <v>248</v>
      </c>
      <c r="D75" s="50">
        <v>1</v>
      </c>
      <c r="E75" s="36" t="s">
        <v>20</v>
      </c>
      <c r="F75" s="45"/>
      <c r="G75" s="64"/>
      <c r="H75" s="37">
        <f t="shared" ref="H75:H94" si="18">ROUND(F75*D75,2)</f>
        <v>0</v>
      </c>
      <c r="I75" s="37">
        <f t="shared" ref="I75:I94" si="19">ROUND(G75*D75,2)</f>
        <v>0</v>
      </c>
      <c r="J75" s="37">
        <f>ROUND(H75+I75,2)</f>
        <v>0</v>
      </c>
    </row>
    <row r="76" spans="1:10" x14ac:dyDescent="0.2">
      <c r="A76" s="39" t="s">
        <v>38</v>
      </c>
      <c r="B76" s="36" t="s">
        <v>271</v>
      </c>
      <c r="C76" s="38" t="s">
        <v>146</v>
      </c>
      <c r="D76" s="50">
        <v>1</v>
      </c>
      <c r="E76" s="36" t="s">
        <v>20</v>
      </c>
      <c r="F76" s="45"/>
      <c r="G76" s="64"/>
      <c r="H76" s="37">
        <f t="shared" si="18"/>
        <v>0</v>
      </c>
      <c r="I76" s="37">
        <f t="shared" si="19"/>
        <v>0</v>
      </c>
      <c r="J76" s="37">
        <f t="shared" ref="J76:J94" si="20">ROUND(H76+I76,2)</f>
        <v>0</v>
      </c>
    </row>
    <row r="77" spans="1:10" x14ac:dyDescent="0.2">
      <c r="A77" s="39" t="s">
        <v>39</v>
      </c>
      <c r="B77" s="36" t="s">
        <v>272</v>
      </c>
      <c r="C77" s="38" t="s">
        <v>247</v>
      </c>
      <c r="D77" s="50">
        <v>3</v>
      </c>
      <c r="E77" s="36" t="s">
        <v>20</v>
      </c>
      <c r="F77" s="45"/>
      <c r="G77" s="64"/>
      <c r="H77" s="37">
        <f t="shared" si="18"/>
        <v>0</v>
      </c>
      <c r="I77" s="37">
        <f t="shared" si="19"/>
        <v>0</v>
      </c>
      <c r="J77" s="37">
        <f t="shared" si="20"/>
        <v>0</v>
      </c>
    </row>
    <row r="78" spans="1:10" ht="24" x14ac:dyDescent="0.2">
      <c r="A78" s="39" t="s">
        <v>134</v>
      </c>
      <c r="B78" s="36" t="s">
        <v>273</v>
      </c>
      <c r="C78" s="38" t="s">
        <v>249</v>
      </c>
      <c r="D78" s="50">
        <v>6</v>
      </c>
      <c r="E78" s="36" t="s">
        <v>20</v>
      </c>
      <c r="F78" s="45"/>
      <c r="G78" s="64"/>
      <c r="H78" s="37">
        <f t="shared" si="18"/>
        <v>0</v>
      </c>
      <c r="I78" s="37">
        <f t="shared" si="19"/>
        <v>0</v>
      </c>
      <c r="J78" s="37">
        <f t="shared" si="20"/>
        <v>0</v>
      </c>
    </row>
    <row r="79" spans="1:10" ht="24" x14ac:dyDescent="0.2">
      <c r="A79" s="39" t="s">
        <v>135</v>
      </c>
      <c r="B79" s="36" t="s">
        <v>274</v>
      </c>
      <c r="C79" s="38" t="s">
        <v>147</v>
      </c>
      <c r="D79" s="50">
        <v>1</v>
      </c>
      <c r="E79" s="36" t="s">
        <v>20</v>
      </c>
      <c r="F79" s="45"/>
      <c r="G79" s="64"/>
      <c r="H79" s="37">
        <f t="shared" si="18"/>
        <v>0</v>
      </c>
      <c r="I79" s="37">
        <f t="shared" si="19"/>
        <v>0</v>
      </c>
      <c r="J79" s="37">
        <f t="shared" si="20"/>
        <v>0</v>
      </c>
    </row>
    <row r="80" spans="1:10" x14ac:dyDescent="0.2">
      <c r="A80" s="39" t="s">
        <v>136</v>
      </c>
      <c r="B80" s="36" t="s">
        <v>275</v>
      </c>
      <c r="C80" s="38" t="s">
        <v>113</v>
      </c>
      <c r="D80" s="50">
        <v>7</v>
      </c>
      <c r="E80" s="36" t="s">
        <v>20</v>
      </c>
      <c r="F80" s="45"/>
      <c r="G80" s="64"/>
      <c r="H80" s="37">
        <f t="shared" si="18"/>
        <v>0</v>
      </c>
      <c r="I80" s="37">
        <f t="shared" si="19"/>
        <v>0</v>
      </c>
      <c r="J80" s="37">
        <f t="shared" si="20"/>
        <v>0</v>
      </c>
    </row>
    <row r="81" spans="1:10" x14ac:dyDescent="0.2">
      <c r="A81" s="39" t="s">
        <v>137</v>
      </c>
      <c r="B81" s="36" t="s">
        <v>276</v>
      </c>
      <c r="C81" s="38" t="s">
        <v>250</v>
      </c>
      <c r="D81" s="50">
        <v>15</v>
      </c>
      <c r="E81" s="36" t="s">
        <v>20</v>
      </c>
      <c r="F81" s="45"/>
      <c r="G81" s="64"/>
      <c r="H81" s="37">
        <f t="shared" si="18"/>
        <v>0</v>
      </c>
      <c r="I81" s="37">
        <f t="shared" si="19"/>
        <v>0</v>
      </c>
      <c r="J81" s="37">
        <f t="shared" si="20"/>
        <v>0</v>
      </c>
    </row>
    <row r="82" spans="1:10" x14ac:dyDescent="0.2">
      <c r="A82" s="39" t="s">
        <v>138</v>
      </c>
      <c r="B82" s="36" t="s">
        <v>277</v>
      </c>
      <c r="C82" s="38" t="s">
        <v>367</v>
      </c>
      <c r="D82" s="50">
        <v>1</v>
      </c>
      <c r="E82" s="36" t="s">
        <v>20</v>
      </c>
      <c r="F82" s="45"/>
      <c r="G82" s="64"/>
      <c r="H82" s="37">
        <f t="shared" si="18"/>
        <v>0</v>
      </c>
      <c r="I82" s="37">
        <f t="shared" si="19"/>
        <v>0</v>
      </c>
      <c r="J82" s="37">
        <f t="shared" si="20"/>
        <v>0</v>
      </c>
    </row>
    <row r="83" spans="1:10" x14ac:dyDescent="0.2">
      <c r="A83" s="39" t="s">
        <v>193</v>
      </c>
      <c r="B83" s="36" t="s">
        <v>278</v>
      </c>
      <c r="C83" s="38" t="s">
        <v>114</v>
      </c>
      <c r="D83" s="50">
        <v>3</v>
      </c>
      <c r="E83" s="36" t="s">
        <v>20</v>
      </c>
      <c r="F83" s="45"/>
      <c r="G83" s="64"/>
      <c r="H83" s="37">
        <f t="shared" si="18"/>
        <v>0</v>
      </c>
      <c r="I83" s="37">
        <f t="shared" si="19"/>
        <v>0</v>
      </c>
      <c r="J83" s="37">
        <f t="shared" si="20"/>
        <v>0</v>
      </c>
    </row>
    <row r="84" spans="1:10" s="98" customFormat="1" ht="24" x14ac:dyDescent="0.2">
      <c r="A84" s="91" t="s">
        <v>194</v>
      </c>
      <c r="B84" s="92" t="s">
        <v>368</v>
      </c>
      <c r="C84" s="93" t="s">
        <v>369</v>
      </c>
      <c r="D84" s="94">
        <v>1</v>
      </c>
      <c r="E84" s="92" t="s">
        <v>20</v>
      </c>
      <c r="F84" s="95"/>
      <c r="G84" s="96"/>
      <c r="H84" s="97">
        <f t="shared" si="18"/>
        <v>0</v>
      </c>
      <c r="I84" s="97">
        <f t="shared" si="19"/>
        <v>0</v>
      </c>
      <c r="J84" s="97">
        <f t="shared" si="20"/>
        <v>0</v>
      </c>
    </row>
    <row r="85" spans="1:10" ht="24" x14ac:dyDescent="0.2">
      <c r="A85" s="39" t="s">
        <v>372</v>
      </c>
      <c r="B85" s="36" t="s">
        <v>279</v>
      </c>
      <c r="C85" s="38" t="s">
        <v>251</v>
      </c>
      <c r="D85" s="50">
        <v>2</v>
      </c>
      <c r="E85" s="36" t="s">
        <v>20</v>
      </c>
      <c r="F85" s="45"/>
      <c r="G85" s="64"/>
      <c r="H85" s="37">
        <f t="shared" si="18"/>
        <v>0</v>
      </c>
      <c r="I85" s="37">
        <f t="shared" si="19"/>
        <v>0</v>
      </c>
      <c r="J85" s="37">
        <f t="shared" si="20"/>
        <v>0</v>
      </c>
    </row>
    <row r="86" spans="1:10" ht="12" customHeight="1" x14ac:dyDescent="0.2">
      <c r="A86" s="39" t="s">
        <v>195</v>
      </c>
      <c r="B86" s="36" t="s">
        <v>280</v>
      </c>
      <c r="C86" s="38" t="s">
        <v>255</v>
      </c>
      <c r="D86" s="50">
        <v>2</v>
      </c>
      <c r="E86" s="36" t="s">
        <v>20</v>
      </c>
      <c r="F86" s="45"/>
      <c r="G86" s="64"/>
      <c r="H86" s="37">
        <f t="shared" si="18"/>
        <v>0</v>
      </c>
      <c r="I86" s="37">
        <f t="shared" si="19"/>
        <v>0</v>
      </c>
      <c r="J86" s="37">
        <f t="shared" si="20"/>
        <v>0</v>
      </c>
    </row>
    <row r="87" spans="1:10" x14ac:dyDescent="0.2">
      <c r="A87" s="39" t="s">
        <v>196</v>
      </c>
      <c r="B87" s="36" t="s">
        <v>281</v>
      </c>
      <c r="C87" s="38" t="s">
        <v>115</v>
      </c>
      <c r="D87" s="50">
        <v>23</v>
      </c>
      <c r="E87" s="36" t="s">
        <v>20</v>
      </c>
      <c r="F87" s="45"/>
      <c r="G87" s="64"/>
      <c r="H87" s="37">
        <f t="shared" si="18"/>
        <v>0</v>
      </c>
      <c r="I87" s="37">
        <f t="shared" si="19"/>
        <v>0</v>
      </c>
      <c r="J87" s="37">
        <f t="shared" si="20"/>
        <v>0</v>
      </c>
    </row>
    <row r="88" spans="1:10" x14ac:dyDescent="0.2">
      <c r="A88" s="39" t="s">
        <v>197</v>
      </c>
      <c r="B88" s="36" t="s">
        <v>282</v>
      </c>
      <c r="C88" s="38" t="s">
        <v>116</v>
      </c>
      <c r="D88" s="50">
        <v>75</v>
      </c>
      <c r="E88" s="36" t="s">
        <v>21</v>
      </c>
      <c r="F88" s="45"/>
      <c r="G88" s="64"/>
      <c r="H88" s="37">
        <f t="shared" si="18"/>
        <v>0</v>
      </c>
      <c r="I88" s="37">
        <f t="shared" si="19"/>
        <v>0</v>
      </c>
      <c r="J88" s="37">
        <f t="shared" si="20"/>
        <v>0</v>
      </c>
    </row>
    <row r="89" spans="1:10" x14ac:dyDescent="0.2">
      <c r="A89" s="39" t="s">
        <v>198</v>
      </c>
      <c r="B89" s="36" t="s">
        <v>283</v>
      </c>
      <c r="C89" s="38" t="s">
        <v>117</v>
      </c>
      <c r="D89" s="50">
        <v>200</v>
      </c>
      <c r="E89" s="36" t="s">
        <v>21</v>
      </c>
      <c r="F89" s="45"/>
      <c r="G89" s="64"/>
      <c r="H89" s="37">
        <f t="shared" si="18"/>
        <v>0</v>
      </c>
      <c r="I89" s="37">
        <f t="shared" si="19"/>
        <v>0</v>
      </c>
      <c r="J89" s="37">
        <f t="shared" si="20"/>
        <v>0</v>
      </c>
    </row>
    <row r="90" spans="1:10" x14ac:dyDescent="0.2">
      <c r="A90" s="39" t="s">
        <v>246</v>
      </c>
      <c r="B90" s="36" t="s">
        <v>284</v>
      </c>
      <c r="C90" s="38" t="s">
        <v>118</v>
      </c>
      <c r="D90" s="50">
        <v>60</v>
      </c>
      <c r="E90" s="36" t="s">
        <v>21</v>
      </c>
      <c r="F90" s="45"/>
      <c r="G90" s="64"/>
      <c r="H90" s="37">
        <f t="shared" si="18"/>
        <v>0</v>
      </c>
      <c r="I90" s="37">
        <f t="shared" si="19"/>
        <v>0</v>
      </c>
      <c r="J90" s="37">
        <f t="shared" si="20"/>
        <v>0</v>
      </c>
    </row>
    <row r="91" spans="1:10" x14ac:dyDescent="0.2">
      <c r="A91" s="39" t="s">
        <v>252</v>
      </c>
      <c r="B91" s="36" t="s">
        <v>285</v>
      </c>
      <c r="C91" s="38" t="s">
        <v>256</v>
      </c>
      <c r="D91" s="50">
        <v>30</v>
      </c>
      <c r="E91" s="36" t="s">
        <v>21</v>
      </c>
      <c r="F91" s="45"/>
      <c r="G91" s="64"/>
      <c r="H91" s="37">
        <f t="shared" si="18"/>
        <v>0</v>
      </c>
      <c r="I91" s="37">
        <f t="shared" si="19"/>
        <v>0</v>
      </c>
      <c r="J91" s="37">
        <f t="shared" si="20"/>
        <v>0</v>
      </c>
    </row>
    <row r="92" spans="1:10" ht="11.25" customHeight="1" x14ac:dyDescent="0.2">
      <c r="A92" s="39" t="s">
        <v>253</v>
      </c>
      <c r="B92" s="36" t="s">
        <v>286</v>
      </c>
      <c r="C92" s="38" t="s">
        <v>257</v>
      </c>
      <c r="D92" s="50">
        <v>1</v>
      </c>
      <c r="E92" s="36" t="s">
        <v>259</v>
      </c>
      <c r="F92" s="45"/>
      <c r="G92" s="64"/>
      <c r="H92" s="37">
        <f t="shared" si="18"/>
        <v>0</v>
      </c>
      <c r="I92" s="37">
        <f t="shared" si="19"/>
        <v>0</v>
      </c>
      <c r="J92" s="37">
        <f t="shared" si="20"/>
        <v>0</v>
      </c>
    </row>
    <row r="93" spans="1:10" x14ac:dyDescent="0.2">
      <c r="A93" s="39" t="s">
        <v>254</v>
      </c>
      <c r="B93" s="36" t="s">
        <v>287</v>
      </c>
      <c r="C93" s="38" t="s">
        <v>258</v>
      </c>
      <c r="D93" s="50">
        <v>29</v>
      </c>
      <c r="E93" s="36" t="s">
        <v>259</v>
      </c>
      <c r="F93" s="45"/>
      <c r="G93" s="64"/>
      <c r="H93" s="37">
        <f t="shared" si="18"/>
        <v>0</v>
      </c>
      <c r="I93" s="37">
        <f t="shared" si="19"/>
        <v>0</v>
      </c>
      <c r="J93" s="37">
        <f t="shared" si="20"/>
        <v>0</v>
      </c>
    </row>
    <row r="94" spans="1:10" x14ac:dyDescent="0.2">
      <c r="A94" s="39" t="s">
        <v>260</v>
      </c>
      <c r="B94" s="36" t="s">
        <v>288</v>
      </c>
      <c r="C94" s="38" t="s">
        <v>119</v>
      </c>
      <c r="D94" s="50">
        <v>3</v>
      </c>
      <c r="E94" s="36" t="s">
        <v>44</v>
      </c>
      <c r="F94" s="45"/>
      <c r="G94" s="64"/>
      <c r="H94" s="37">
        <f t="shared" si="18"/>
        <v>0</v>
      </c>
      <c r="I94" s="37">
        <f t="shared" si="19"/>
        <v>0</v>
      </c>
      <c r="J94" s="37">
        <f t="shared" si="20"/>
        <v>0</v>
      </c>
    </row>
    <row r="95" spans="1:10" s="57" customFormat="1" x14ac:dyDescent="0.2">
      <c r="A95" s="42"/>
      <c r="B95" s="42"/>
      <c r="C95" s="49"/>
      <c r="D95" s="56"/>
      <c r="E95" s="42"/>
      <c r="F95" s="60"/>
      <c r="G95" s="33"/>
      <c r="H95" s="59"/>
      <c r="I95" s="59" t="s">
        <v>151</v>
      </c>
      <c r="J95" s="59">
        <f>SUM(J75:J94)</f>
        <v>0</v>
      </c>
    </row>
    <row r="96" spans="1:10" x14ac:dyDescent="0.2">
      <c r="A96" s="42" t="s">
        <v>199</v>
      </c>
      <c r="B96" s="39"/>
      <c r="C96" s="49" t="s">
        <v>41</v>
      </c>
      <c r="D96" s="52"/>
      <c r="E96" s="39"/>
      <c r="F96" s="46"/>
      <c r="G96" s="61"/>
      <c r="H96" s="40"/>
      <c r="I96" s="40"/>
      <c r="J96" s="40"/>
    </row>
    <row r="97" spans="1:10" x14ac:dyDescent="0.2">
      <c r="A97" s="39" t="s">
        <v>55</v>
      </c>
      <c r="B97" s="36" t="s">
        <v>289</v>
      </c>
      <c r="C97" s="38" t="s">
        <v>46</v>
      </c>
      <c r="D97" s="50">
        <v>30</v>
      </c>
      <c r="E97" s="36" t="s">
        <v>21</v>
      </c>
      <c r="F97" s="45"/>
      <c r="G97" s="64"/>
      <c r="H97" s="37">
        <f t="shared" ref="H97:H112" si="21">ROUND(F97*D97,2)</f>
        <v>0</v>
      </c>
      <c r="I97" s="37">
        <f t="shared" ref="I97:I112" si="22">ROUND(G97*D97,2)</f>
        <v>0</v>
      </c>
      <c r="J97" s="37">
        <f>ROUND(H97+I97,2)</f>
        <v>0</v>
      </c>
    </row>
    <row r="98" spans="1:10" x14ac:dyDescent="0.2">
      <c r="A98" s="39" t="s">
        <v>56</v>
      </c>
      <c r="B98" s="36" t="s">
        <v>290</v>
      </c>
      <c r="C98" s="38" t="s">
        <v>77</v>
      </c>
      <c r="D98" s="50">
        <v>6</v>
      </c>
      <c r="E98" s="36" t="s">
        <v>21</v>
      </c>
      <c r="F98" s="45"/>
      <c r="G98" s="64"/>
      <c r="H98" s="37">
        <f t="shared" si="21"/>
        <v>0</v>
      </c>
      <c r="I98" s="37">
        <f t="shared" si="22"/>
        <v>0</v>
      </c>
      <c r="J98" s="37">
        <f t="shared" ref="J98:J112" si="23">ROUND(H98+I98,2)</f>
        <v>0</v>
      </c>
    </row>
    <row r="99" spans="1:10" x14ac:dyDescent="0.2">
      <c r="A99" s="39" t="s">
        <v>139</v>
      </c>
      <c r="B99" s="36" t="s">
        <v>291</v>
      </c>
      <c r="C99" s="38" t="s">
        <v>78</v>
      </c>
      <c r="D99" s="50">
        <v>6</v>
      </c>
      <c r="E99" s="36" t="s">
        <v>21</v>
      </c>
      <c r="F99" s="45"/>
      <c r="G99" s="64"/>
      <c r="H99" s="37">
        <f t="shared" si="21"/>
        <v>0</v>
      </c>
      <c r="I99" s="37">
        <f t="shared" si="22"/>
        <v>0</v>
      </c>
      <c r="J99" s="37">
        <f t="shared" si="23"/>
        <v>0</v>
      </c>
    </row>
    <row r="100" spans="1:10" x14ac:dyDescent="0.2">
      <c r="A100" s="39" t="s">
        <v>200</v>
      </c>
      <c r="B100" s="36" t="s">
        <v>292</v>
      </c>
      <c r="C100" s="38" t="s">
        <v>81</v>
      </c>
      <c r="D100" s="50">
        <v>6</v>
      </c>
      <c r="E100" s="36" t="s">
        <v>20</v>
      </c>
      <c r="F100" s="45"/>
      <c r="G100" s="64"/>
      <c r="H100" s="37">
        <f t="shared" si="21"/>
        <v>0</v>
      </c>
      <c r="I100" s="37">
        <f t="shared" si="22"/>
        <v>0</v>
      </c>
      <c r="J100" s="37">
        <f t="shared" si="23"/>
        <v>0</v>
      </c>
    </row>
    <row r="101" spans="1:10" x14ac:dyDescent="0.2">
      <c r="A101" s="39" t="s">
        <v>201</v>
      </c>
      <c r="B101" s="36" t="s">
        <v>293</v>
      </c>
      <c r="C101" s="38" t="s">
        <v>120</v>
      </c>
      <c r="D101" s="50">
        <v>15</v>
      </c>
      <c r="E101" s="36" t="s">
        <v>20</v>
      </c>
      <c r="F101" s="45"/>
      <c r="G101" s="64"/>
      <c r="H101" s="37">
        <f t="shared" si="21"/>
        <v>0</v>
      </c>
      <c r="I101" s="37">
        <f t="shared" si="22"/>
        <v>0</v>
      </c>
      <c r="J101" s="37">
        <f t="shared" si="23"/>
        <v>0</v>
      </c>
    </row>
    <row r="102" spans="1:10" x14ac:dyDescent="0.2">
      <c r="A102" s="39" t="s">
        <v>202</v>
      </c>
      <c r="B102" s="36" t="s">
        <v>294</v>
      </c>
      <c r="C102" s="38" t="s">
        <v>82</v>
      </c>
      <c r="D102" s="50">
        <v>6</v>
      </c>
      <c r="E102" s="36" t="s">
        <v>20</v>
      </c>
      <c r="F102" s="45"/>
      <c r="G102" s="64"/>
      <c r="H102" s="37">
        <f t="shared" si="21"/>
        <v>0</v>
      </c>
      <c r="I102" s="37">
        <f t="shared" si="22"/>
        <v>0</v>
      </c>
      <c r="J102" s="37">
        <f t="shared" si="23"/>
        <v>0</v>
      </c>
    </row>
    <row r="103" spans="1:10" x14ac:dyDescent="0.2">
      <c r="A103" s="39" t="s">
        <v>203</v>
      </c>
      <c r="B103" s="36" t="s">
        <v>295</v>
      </c>
      <c r="C103" s="38" t="s">
        <v>79</v>
      </c>
      <c r="D103" s="50">
        <v>1</v>
      </c>
      <c r="E103" s="36" t="s">
        <v>20</v>
      </c>
      <c r="F103" s="45"/>
      <c r="G103" s="64"/>
      <c r="H103" s="37">
        <f t="shared" si="21"/>
        <v>0</v>
      </c>
      <c r="I103" s="37">
        <f t="shared" si="22"/>
        <v>0</v>
      </c>
      <c r="J103" s="37">
        <f t="shared" si="23"/>
        <v>0</v>
      </c>
    </row>
    <row r="104" spans="1:10" x14ac:dyDescent="0.2">
      <c r="A104" s="39" t="s">
        <v>204</v>
      </c>
      <c r="B104" s="36" t="s">
        <v>296</v>
      </c>
      <c r="C104" s="38" t="s">
        <v>80</v>
      </c>
      <c r="D104" s="50">
        <v>1</v>
      </c>
      <c r="E104" s="36" t="s">
        <v>20</v>
      </c>
      <c r="F104" s="45"/>
      <c r="G104" s="64"/>
      <c r="H104" s="37">
        <f t="shared" si="21"/>
        <v>0</v>
      </c>
      <c r="I104" s="37">
        <f t="shared" si="22"/>
        <v>0</v>
      </c>
      <c r="J104" s="37">
        <f t="shared" si="23"/>
        <v>0</v>
      </c>
    </row>
    <row r="105" spans="1:10" x14ac:dyDescent="0.2">
      <c r="A105" s="39" t="s">
        <v>205</v>
      </c>
      <c r="B105" s="36" t="s">
        <v>266</v>
      </c>
      <c r="C105" s="38" t="s">
        <v>121</v>
      </c>
      <c r="D105" s="50">
        <v>3</v>
      </c>
      <c r="E105" s="36" t="s">
        <v>20</v>
      </c>
      <c r="F105" s="45"/>
      <c r="G105" s="64"/>
      <c r="H105" s="37">
        <f t="shared" si="21"/>
        <v>0</v>
      </c>
      <c r="I105" s="37">
        <f t="shared" si="22"/>
        <v>0</v>
      </c>
      <c r="J105" s="37">
        <f t="shared" si="23"/>
        <v>0</v>
      </c>
    </row>
    <row r="106" spans="1:10" x14ac:dyDescent="0.2">
      <c r="A106" s="39" t="s">
        <v>206</v>
      </c>
      <c r="B106" s="36" t="s">
        <v>297</v>
      </c>
      <c r="C106" s="38" t="s">
        <v>83</v>
      </c>
      <c r="D106" s="50">
        <v>1</v>
      </c>
      <c r="E106" s="36" t="s">
        <v>20</v>
      </c>
      <c r="F106" s="45"/>
      <c r="G106" s="64"/>
      <c r="H106" s="37">
        <f t="shared" si="21"/>
        <v>0</v>
      </c>
      <c r="I106" s="37">
        <f t="shared" si="22"/>
        <v>0</v>
      </c>
      <c r="J106" s="37">
        <f t="shared" si="23"/>
        <v>0</v>
      </c>
    </row>
    <row r="107" spans="1:10" x14ac:dyDescent="0.2">
      <c r="A107" s="39" t="s">
        <v>207</v>
      </c>
      <c r="B107" s="36" t="s">
        <v>298</v>
      </c>
      <c r="C107" s="38" t="s">
        <v>84</v>
      </c>
      <c r="D107" s="50">
        <v>1</v>
      </c>
      <c r="E107" s="36" t="s">
        <v>20</v>
      </c>
      <c r="F107" s="45"/>
      <c r="G107" s="64"/>
      <c r="H107" s="37">
        <f t="shared" si="21"/>
        <v>0</v>
      </c>
      <c r="I107" s="37">
        <f t="shared" si="22"/>
        <v>0</v>
      </c>
      <c r="J107" s="37">
        <f t="shared" si="23"/>
        <v>0</v>
      </c>
    </row>
    <row r="108" spans="1:10" x14ac:dyDescent="0.2">
      <c r="A108" s="39" t="s">
        <v>208</v>
      </c>
      <c r="B108" s="36" t="s">
        <v>299</v>
      </c>
      <c r="C108" s="38" t="s">
        <v>122</v>
      </c>
      <c r="D108" s="50">
        <v>1</v>
      </c>
      <c r="E108" s="36" t="s">
        <v>20</v>
      </c>
      <c r="F108" s="45"/>
      <c r="G108" s="64"/>
      <c r="H108" s="37">
        <f t="shared" si="21"/>
        <v>0</v>
      </c>
      <c r="I108" s="37">
        <f t="shared" si="22"/>
        <v>0</v>
      </c>
      <c r="J108" s="37">
        <f t="shared" si="23"/>
        <v>0</v>
      </c>
    </row>
    <row r="109" spans="1:10" x14ac:dyDescent="0.2">
      <c r="A109" s="39" t="s">
        <v>209</v>
      </c>
      <c r="B109" s="36" t="s">
        <v>300</v>
      </c>
      <c r="C109" s="38" t="s">
        <v>85</v>
      </c>
      <c r="D109" s="50">
        <v>1</v>
      </c>
      <c r="E109" s="36" t="s">
        <v>20</v>
      </c>
      <c r="F109" s="45"/>
      <c r="G109" s="64"/>
      <c r="H109" s="37">
        <f t="shared" si="21"/>
        <v>0</v>
      </c>
      <c r="I109" s="37">
        <f t="shared" si="22"/>
        <v>0</v>
      </c>
      <c r="J109" s="37">
        <f t="shared" si="23"/>
        <v>0</v>
      </c>
    </row>
    <row r="110" spans="1:10" x14ac:dyDescent="0.2">
      <c r="A110" s="39" t="s">
        <v>210</v>
      </c>
      <c r="B110" s="43" t="s">
        <v>301</v>
      </c>
      <c r="C110" s="38" t="s">
        <v>86</v>
      </c>
      <c r="D110" s="50">
        <v>1</v>
      </c>
      <c r="E110" s="36" t="s">
        <v>20</v>
      </c>
      <c r="F110" s="45"/>
      <c r="G110" s="64"/>
      <c r="H110" s="37">
        <f t="shared" si="21"/>
        <v>0</v>
      </c>
      <c r="I110" s="37">
        <f t="shared" si="22"/>
        <v>0</v>
      </c>
      <c r="J110" s="37">
        <f t="shared" si="23"/>
        <v>0</v>
      </c>
    </row>
    <row r="111" spans="1:10" x14ac:dyDescent="0.2">
      <c r="A111" s="39" t="s">
        <v>211</v>
      </c>
      <c r="B111" s="36" t="s">
        <v>302</v>
      </c>
      <c r="C111" s="38" t="s">
        <v>123</v>
      </c>
      <c r="D111" s="50">
        <v>1</v>
      </c>
      <c r="E111" s="36" t="s">
        <v>20</v>
      </c>
      <c r="F111" s="45"/>
      <c r="G111" s="64"/>
      <c r="H111" s="37">
        <f t="shared" si="21"/>
        <v>0</v>
      </c>
      <c r="I111" s="37">
        <f t="shared" si="22"/>
        <v>0</v>
      </c>
      <c r="J111" s="37">
        <f t="shared" si="23"/>
        <v>0</v>
      </c>
    </row>
    <row r="112" spans="1:10" x14ac:dyDescent="0.2">
      <c r="A112" s="39" t="s">
        <v>212</v>
      </c>
      <c r="B112" s="36" t="s">
        <v>303</v>
      </c>
      <c r="C112" s="38" t="s">
        <v>124</v>
      </c>
      <c r="D112" s="50">
        <v>1</v>
      </c>
      <c r="E112" s="36" t="s">
        <v>20</v>
      </c>
      <c r="F112" s="45"/>
      <c r="G112" s="64"/>
      <c r="H112" s="37">
        <f t="shared" si="21"/>
        <v>0</v>
      </c>
      <c r="I112" s="37">
        <f t="shared" si="22"/>
        <v>0</v>
      </c>
      <c r="J112" s="37">
        <f t="shared" si="23"/>
        <v>0</v>
      </c>
    </row>
    <row r="113" spans="1:10" s="57" customFormat="1" x14ac:dyDescent="0.2">
      <c r="A113" s="42"/>
      <c r="B113" s="42"/>
      <c r="C113" s="49"/>
      <c r="D113" s="56"/>
      <c r="E113" s="42"/>
      <c r="F113" s="60"/>
      <c r="G113" s="33"/>
      <c r="H113" s="59"/>
      <c r="I113" s="59" t="s">
        <v>151</v>
      </c>
      <c r="J113" s="59">
        <f>SUM(J97:J112)</f>
        <v>0</v>
      </c>
    </row>
    <row r="114" spans="1:10" x14ac:dyDescent="0.2">
      <c r="A114" s="42" t="s">
        <v>140</v>
      </c>
      <c r="B114" s="39"/>
      <c r="C114" s="49" t="s">
        <v>42</v>
      </c>
      <c r="D114" s="52"/>
      <c r="E114" s="39"/>
      <c r="F114" s="46"/>
      <c r="G114" s="61"/>
      <c r="H114" s="40"/>
      <c r="I114" s="40"/>
      <c r="J114" s="40"/>
    </row>
    <row r="115" spans="1:10" x14ac:dyDescent="0.2">
      <c r="A115" s="39" t="s">
        <v>141</v>
      </c>
      <c r="B115" s="36" t="s">
        <v>304</v>
      </c>
      <c r="C115" s="38" t="s">
        <v>126</v>
      </c>
      <c r="D115" s="50">
        <v>6</v>
      </c>
      <c r="E115" s="36" t="s">
        <v>21</v>
      </c>
      <c r="F115" s="45"/>
      <c r="G115" s="64"/>
      <c r="H115" s="37">
        <f t="shared" ref="H115:H122" si="24">ROUND(F115*D115,2)</f>
        <v>0</v>
      </c>
      <c r="I115" s="37">
        <f t="shared" ref="I115:I126" si="25">ROUND(G115*D115,2)</f>
        <v>0</v>
      </c>
      <c r="J115" s="37">
        <f>ROUND(H115+I115,2)</f>
        <v>0</v>
      </c>
    </row>
    <row r="116" spans="1:10" x14ac:dyDescent="0.2">
      <c r="A116" s="39" t="s">
        <v>142</v>
      </c>
      <c r="B116" s="36" t="s">
        <v>305</v>
      </c>
      <c r="C116" s="38" t="s">
        <v>127</v>
      </c>
      <c r="D116" s="50">
        <v>12</v>
      </c>
      <c r="E116" s="36" t="s">
        <v>21</v>
      </c>
      <c r="F116" s="45"/>
      <c r="G116" s="64"/>
      <c r="H116" s="37">
        <f t="shared" si="24"/>
        <v>0</v>
      </c>
      <c r="I116" s="37">
        <f t="shared" si="25"/>
        <v>0</v>
      </c>
      <c r="J116" s="37">
        <f t="shared" ref="J116:J126" si="26">ROUND(H116+I116,2)</f>
        <v>0</v>
      </c>
    </row>
    <row r="117" spans="1:10" x14ac:dyDescent="0.2">
      <c r="A117" s="39" t="s">
        <v>213</v>
      </c>
      <c r="B117" s="36" t="s">
        <v>306</v>
      </c>
      <c r="C117" s="38" t="s">
        <v>128</v>
      </c>
      <c r="D117" s="50">
        <v>30</v>
      </c>
      <c r="E117" s="36" t="s">
        <v>21</v>
      </c>
      <c r="F117" s="45"/>
      <c r="G117" s="64"/>
      <c r="H117" s="37">
        <f t="shared" si="24"/>
        <v>0</v>
      </c>
      <c r="I117" s="37">
        <f t="shared" si="25"/>
        <v>0</v>
      </c>
      <c r="J117" s="37">
        <f t="shared" si="26"/>
        <v>0</v>
      </c>
    </row>
    <row r="118" spans="1:10" x14ac:dyDescent="0.2">
      <c r="A118" s="39" t="s">
        <v>214</v>
      </c>
      <c r="B118" s="36" t="s">
        <v>307</v>
      </c>
      <c r="C118" s="38" t="s">
        <v>129</v>
      </c>
      <c r="D118" s="50">
        <v>3</v>
      </c>
      <c r="E118" s="36" t="s">
        <v>20</v>
      </c>
      <c r="F118" s="45"/>
      <c r="G118" s="64"/>
      <c r="H118" s="37">
        <f t="shared" si="24"/>
        <v>0</v>
      </c>
      <c r="I118" s="37">
        <f t="shared" si="25"/>
        <v>0</v>
      </c>
      <c r="J118" s="37">
        <f t="shared" si="26"/>
        <v>0</v>
      </c>
    </row>
    <row r="119" spans="1:10" x14ac:dyDescent="0.2">
      <c r="A119" s="39" t="s">
        <v>215</v>
      </c>
      <c r="B119" s="36" t="s">
        <v>308</v>
      </c>
      <c r="C119" s="38" t="s">
        <v>130</v>
      </c>
      <c r="D119" s="50">
        <v>3</v>
      </c>
      <c r="E119" s="36" t="s">
        <v>20</v>
      </c>
      <c r="F119" s="45"/>
      <c r="G119" s="64"/>
      <c r="H119" s="37">
        <f t="shared" si="24"/>
        <v>0</v>
      </c>
      <c r="I119" s="37">
        <f t="shared" si="25"/>
        <v>0</v>
      </c>
      <c r="J119" s="37">
        <f t="shared" si="26"/>
        <v>0</v>
      </c>
    </row>
    <row r="120" spans="1:10" x14ac:dyDescent="0.2">
      <c r="A120" s="39" t="s">
        <v>216</v>
      </c>
      <c r="B120" s="36" t="s">
        <v>309</v>
      </c>
      <c r="C120" s="38" t="s">
        <v>131</v>
      </c>
      <c r="D120" s="50">
        <v>1</v>
      </c>
      <c r="E120" s="36" t="s">
        <v>20</v>
      </c>
      <c r="F120" s="45"/>
      <c r="G120" s="64"/>
      <c r="H120" s="37">
        <f t="shared" si="24"/>
        <v>0</v>
      </c>
      <c r="I120" s="37">
        <f t="shared" si="25"/>
        <v>0</v>
      </c>
      <c r="J120" s="37">
        <f t="shared" si="26"/>
        <v>0</v>
      </c>
    </row>
    <row r="121" spans="1:10" x14ac:dyDescent="0.2">
      <c r="A121" s="39" t="s">
        <v>217</v>
      </c>
      <c r="B121" s="36" t="s">
        <v>310</v>
      </c>
      <c r="C121" s="38" t="s">
        <v>87</v>
      </c>
      <c r="D121" s="50">
        <v>1</v>
      </c>
      <c r="E121" s="36" t="s">
        <v>20</v>
      </c>
      <c r="F121" s="45"/>
      <c r="G121" s="64"/>
      <c r="H121" s="37">
        <f t="shared" si="24"/>
        <v>0</v>
      </c>
      <c r="I121" s="37">
        <f t="shared" si="25"/>
        <v>0</v>
      </c>
      <c r="J121" s="37">
        <f t="shared" si="26"/>
        <v>0</v>
      </c>
    </row>
    <row r="122" spans="1:10" x14ac:dyDescent="0.2">
      <c r="A122" s="39" t="s">
        <v>218</v>
      </c>
      <c r="B122" s="36" t="s">
        <v>311</v>
      </c>
      <c r="C122" s="38" t="s">
        <v>132</v>
      </c>
      <c r="D122" s="50">
        <v>3</v>
      </c>
      <c r="E122" s="36" t="s">
        <v>20</v>
      </c>
      <c r="F122" s="45"/>
      <c r="G122" s="64"/>
      <c r="H122" s="37">
        <f t="shared" si="24"/>
        <v>0</v>
      </c>
      <c r="I122" s="37">
        <f t="shared" si="25"/>
        <v>0</v>
      </c>
      <c r="J122" s="37">
        <f t="shared" si="26"/>
        <v>0</v>
      </c>
    </row>
    <row r="123" spans="1:10" x14ac:dyDescent="0.2">
      <c r="A123" s="39" t="s">
        <v>219</v>
      </c>
      <c r="B123" s="36" t="s">
        <v>312</v>
      </c>
      <c r="C123" s="38" t="s">
        <v>88</v>
      </c>
      <c r="D123" s="50">
        <v>1</v>
      </c>
      <c r="E123" s="36" t="s">
        <v>20</v>
      </c>
      <c r="F123" s="45"/>
      <c r="G123" s="64"/>
      <c r="H123" s="37">
        <f>ROUND(F123*D123,2)</f>
        <v>0</v>
      </c>
      <c r="I123" s="37">
        <f t="shared" si="25"/>
        <v>0</v>
      </c>
      <c r="J123" s="37">
        <f t="shared" si="26"/>
        <v>0</v>
      </c>
    </row>
    <row r="124" spans="1:10" x14ac:dyDescent="0.2">
      <c r="A124" s="39" t="s">
        <v>220</v>
      </c>
      <c r="B124" s="36" t="s">
        <v>313</v>
      </c>
      <c r="C124" s="38" t="s">
        <v>125</v>
      </c>
      <c r="D124" s="50">
        <v>1</v>
      </c>
      <c r="E124" s="36" t="s">
        <v>20</v>
      </c>
      <c r="F124" s="45"/>
      <c r="G124" s="64"/>
      <c r="H124" s="37">
        <f>ROUND(F124*D124,2)</f>
        <v>0</v>
      </c>
      <c r="I124" s="37">
        <f t="shared" si="25"/>
        <v>0</v>
      </c>
      <c r="J124" s="37">
        <f t="shared" si="26"/>
        <v>0</v>
      </c>
    </row>
    <row r="125" spans="1:10" x14ac:dyDescent="0.2">
      <c r="A125" s="39" t="s">
        <v>221</v>
      </c>
      <c r="B125" s="36" t="s">
        <v>314</v>
      </c>
      <c r="C125" s="38" t="s">
        <v>148</v>
      </c>
      <c r="D125" s="50">
        <v>1</v>
      </c>
      <c r="E125" s="36" t="s">
        <v>20</v>
      </c>
      <c r="F125" s="45"/>
      <c r="G125" s="64"/>
      <c r="H125" s="37">
        <f>ROUND(F125*D125,2)</f>
        <v>0</v>
      </c>
      <c r="I125" s="37">
        <f t="shared" si="25"/>
        <v>0</v>
      </c>
      <c r="J125" s="37">
        <f t="shared" si="26"/>
        <v>0</v>
      </c>
    </row>
    <row r="126" spans="1:10" x14ac:dyDescent="0.2">
      <c r="A126" s="39" t="s">
        <v>222</v>
      </c>
      <c r="B126" s="36" t="s">
        <v>315</v>
      </c>
      <c r="C126" s="38" t="s">
        <v>89</v>
      </c>
      <c r="D126" s="50">
        <v>1</v>
      </c>
      <c r="E126" s="36" t="s">
        <v>20</v>
      </c>
      <c r="F126" s="45"/>
      <c r="G126" s="64"/>
      <c r="H126" s="37">
        <f>ROUND(F126*D126,2)</f>
        <v>0</v>
      </c>
      <c r="I126" s="37">
        <f t="shared" si="25"/>
        <v>0</v>
      </c>
      <c r="J126" s="37">
        <f t="shared" si="26"/>
        <v>0</v>
      </c>
    </row>
    <row r="127" spans="1:10" s="57" customFormat="1" x14ac:dyDescent="0.2">
      <c r="A127" s="42"/>
      <c r="B127" s="42"/>
      <c r="C127" s="49"/>
      <c r="D127" s="56"/>
      <c r="E127" s="42"/>
      <c r="F127" s="60"/>
      <c r="G127" s="59"/>
      <c r="H127" s="59"/>
      <c r="I127" s="59" t="s">
        <v>151</v>
      </c>
      <c r="J127" s="59">
        <f>SUM(J115:J126)</f>
        <v>0</v>
      </c>
    </row>
    <row r="128" spans="1:10" x14ac:dyDescent="0.2">
      <c r="A128" s="42" t="s">
        <v>223</v>
      </c>
      <c r="B128" s="39"/>
      <c r="C128" s="49" t="s">
        <v>112</v>
      </c>
      <c r="D128" s="56"/>
      <c r="E128" s="42"/>
      <c r="F128" s="60"/>
      <c r="G128" s="60"/>
      <c r="H128" s="40"/>
      <c r="I128" s="40"/>
      <c r="J128" s="40"/>
    </row>
    <row r="129" spans="1:10" x14ac:dyDescent="0.2">
      <c r="A129" s="39" t="s">
        <v>224</v>
      </c>
      <c r="B129" s="36" t="s">
        <v>316</v>
      </c>
      <c r="C129" s="38" t="s">
        <v>184</v>
      </c>
      <c r="D129" s="50">
        <v>44</v>
      </c>
      <c r="E129" s="36" t="s">
        <v>57</v>
      </c>
      <c r="F129" s="45"/>
      <c r="G129" s="37"/>
      <c r="H129" s="37">
        <f>ROUND(F129*D129,2)</f>
        <v>0</v>
      </c>
      <c r="I129" s="37">
        <f>ROUND(G129*D129,2)</f>
        <v>0</v>
      </c>
      <c r="J129" s="37">
        <f>ROUND(H129+I129,2)</f>
        <v>0</v>
      </c>
    </row>
    <row r="130" spans="1:10" x14ac:dyDescent="0.2">
      <c r="A130" s="39" t="s">
        <v>225</v>
      </c>
      <c r="B130" s="36" t="s">
        <v>317</v>
      </c>
      <c r="C130" s="38" t="s">
        <v>185</v>
      </c>
      <c r="D130" s="50">
        <v>88</v>
      </c>
      <c r="E130" s="36" t="s">
        <v>57</v>
      </c>
      <c r="F130" s="45"/>
      <c r="G130" s="37"/>
      <c r="H130" s="37">
        <f>ROUND(F130*D130,2)</f>
        <v>0</v>
      </c>
      <c r="I130" s="37">
        <f>ROUND(G130*D130,2)</f>
        <v>0</v>
      </c>
      <c r="J130" s="37">
        <f>ROUND(H130+I130,2)</f>
        <v>0</v>
      </c>
    </row>
    <row r="131" spans="1:10" s="57" customFormat="1" x14ac:dyDescent="0.2">
      <c r="A131" s="42"/>
      <c r="B131" s="42"/>
      <c r="C131" s="49"/>
      <c r="D131" s="56"/>
      <c r="E131" s="42"/>
      <c r="F131" s="60"/>
      <c r="G131" s="59"/>
      <c r="H131" s="59"/>
      <c r="I131" s="59" t="s">
        <v>151</v>
      </c>
      <c r="J131" s="59">
        <f>SUM(J129:J130)</f>
        <v>0</v>
      </c>
    </row>
    <row r="132" spans="1:10" x14ac:dyDescent="0.2">
      <c r="C132" s="48"/>
      <c r="J132" s="62"/>
    </row>
    <row r="133" spans="1:10" ht="12.75" customHeight="1" x14ac:dyDescent="0.2">
      <c r="A133" s="42"/>
      <c r="B133" s="108" t="s">
        <v>149</v>
      </c>
      <c r="C133" s="108"/>
      <c r="D133" s="108"/>
      <c r="E133" s="108"/>
      <c r="F133" s="108"/>
      <c r="G133" s="108"/>
      <c r="H133" s="108"/>
      <c r="I133" s="108"/>
      <c r="J133" s="44">
        <f>SUM(J131,J127,J113,J95,J73,J63,J59,J53,J47,J38,J29,J16)</f>
        <v>0</v>
      </c>
    </row>
    <row r="134" spans="1:10" ht="12.75" customHeight="1" x14ac:dyDescent="0.2">
      <c r="B134" s="108" t="s">
        <v>226</v>
      </c>
      <c r="C134" s="108"/>
      <c r="D134" s="108"/>
      <c r="E134" s="108"/>
      <c r="F134" s="108"/>
      <c r="G134" s="108"/>
      <c r="H134" s="108"/>
      <c r="I134" s="108"/>
      <c r="J134" s="44">
        <f>ROUND(J133*0.2334,2)</f>
        <v>0</v>
      </c>
    </row>
    <row r="135" spans="1:10" ht="12.75" customHeight="1" x14ac:dyDescent="0.2">
      <c r="B135" s="108" t="s">
        <v>150</v>
      </c>
      <c r="C135" s="108"/>
      <c r="D135" s="108"/>
      <c r="E135" s="108"/>
      <c r="F135" s="108"/>
      <c r="G135" s="108"/>
      <c r="H135" s="108"/>
      <c r="I135" s="108"/>
      <c r="J135" s="44">
        <f>SUM(J133:J134)</f>
        <v>0</v>
      </c>
    </row>
  </sheetData>
  <mergeCells count="5">
    <mergeCell ref="A1:J1"/>
    <mergeCell ref="A2:J2"/>
    <mergeCell ref="B133:I133"/>
    <mergeCell ref="B134:I134"/>
    <mergeCell ref="B135:I135"/>
  </mergeCells>
  <phoneticPr fontId="20" type="noConversion"/>
  <printOptions horizontalCentered="1"/>
  <pageMargins left="0.78740157480314965" right="0.78740157480314965" top="1.5748031496062993" bottom="0.78740157480314965" header="0" footer="0"/>
  <pageSetup paperSize="9" scale="70" orientation="landscape" r:id="rId1"/>
  <headerFooter alignWithMargins="0">
    <oddHeader>&amp;R&amp;G</oddHeader>
    <oddFooter>&amp;L&amp;8DEPARTAMENTO DE ENGENHARIA&amp;R&amp;P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="115" zoomScaleNormal="100" zoomScaleSheetLayoutView="115" workbookViewId="0">
      <selection activeCell="O17" sqref="O17"/>
    </sheetView>
  </sheetViews>
  <sheetFormatPr defaultColWidth="9.140625" defaultRowHeight="12" x14ac:dyDescent="0.2"/>
  <cols>
    <col min="1" max="1" width="5.5703125" style="41" customWidth="1"/>
    <col min="2" max="2" width="21.28515625" style="63" customWidth="1"/>
    <col min="3" max="3" width="12.28515625" style="41" customWidth="1"/>
    <col min="4" max="4" width="6.28515625" style="85" customWidth="1"/>
    <col min="5" max="5" width="12.28515625" style="35" customWidth="1"/>
    <col min="6" max="6" width="6.28515625" style="87" customWidth="1"/>
    <col min="7" max="7" width="12.28515625" style="53" customWidth="1"/>
    <col min="8" max="8" width="6.28515625" style="87" customWidth="1"/>
    <col min="9" max="9" width="12.28515625" style="53" customWidth="1"/>
    <col min="10" max="10" width="7" style="85" customWidth="1"/>
    <col min="11" max="11" width="13.28515625" style="35" customWidth="1"/>
    <col min="12" max="16384" width="9.140625" style="35"/>
  </cols>
  <sheetData>
    <row r="1" spans="1:11" s="65" customFormat="1" ht="18.75" x14ac:dyDescent="0.2">
      <c r="A1" s="111" t="s">
        <v>232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s="65" customFormat="1" ht="15.75" x14ac:dyDescent="0.2">
      <c r="A2" s="107" t="s">
        <v>133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s="65" customFormat="1" ht="12.75" x14ac:dyDescent="0.2">
      <c r="A3" s="69"/>
      <c r="B3" s="69"/>
      <c r="C3" s="69"/>
      <c r="D3" s="69"/>
      <c r="E3" s="69"/>
      <c r="F3" s="69"/>
      <c r="G3" s="69"/>
      <c r="H3" s="69"/>
      <c r="I3" s="69"/>
    </row>
    <row r="4" spans="1:11" x14ac:dyDescent="0.2">
      <c r="B4" s="48"/>
    </row>
    <row r="5" spans="1:11" s="73" customFormat="1" ht="12.75" customHeight="1" x14ac:dyDescent="0.2">
      <c r="A5" s="116" t="s">
        <v>0</v>
      </c>
      <c r="B5" s="114" t="s">
        <v>1</v>
      </c>
      <c r="C5" s="114" t="s">
        <v>245</v>
      </c>
      <c r="D5" s="112" t="s">
        <v>238</v>
      </c>
      <c r="E5" s="113"/>
      <c r="F5" s="112" t="s">
        <v>239</v>
      </c>
      <c r="G5" s="113"/>
      <c r="H5" s="112" t="s">
        <v>240</v>
      </c>
      <c r="I5" s="113"/>
      <c r="J5" s="112" t="s">
        <v>233</v>
      </c>
      <c r="K5" s="113"/>
    </row>
    <row r="6" spans="1:11" s="75" customFormat="1" ht="24" customHeight="1" x14ac:dyDescent="0.2">
      <c r="A6" s="116"/>
      <c r="B6" s="115"/>
      <c r="C6" s="115"/>
      <c r="D6" s="74" t="s">
        <v>234</v>
      </c>
      <c r="E6" s="74" t="s">
        <v>235</v>
      </c>
      <c r="F6" s="74" t="s">
        <v>234</v>
      </c>
      <c r="G6" s="74" t="s">
        <v>235</v>
      </c>
      <c r="H6" s="74" t="s">
        <v>234</v>
      </c>
      <c r="I6" s="74" t="s">
        <v>235</v>
      </c>
      <c r="J6" s="74" t="s">
        <v>234</v>
      </c>
      <c r="K6" s="74" t="s">
        <v>235</v>
      </c>
    </row>
    <row r="7" spans="1:11" s="80" customFormat="1" ht="16.5" customHeight="1" x14ac:dyDescent="0.2">
      <c r="A7" s="76" t="s">
        <v>236</v>
      </c>
      <c r="B7" s="77" t="str">
        <f>ORCAMENTO!C9</f>
        <v>Serviços Preliminares</v>
      </c>
      <c r="C7" s="78">
        <f>ROUNDUP(ORCAMENTO!J16*1.2334,2)</f>
        <v>0</v>
      </c>
      <c r="D7" s="79">
        <v>1</v>
      </c>
      <c r="E7" s="78">
        <f>ROUND(D7*$C$7,2)</f>
        <v>0</v>
      </c>
      <c r="F7" s="79"/>
      <c r="G7" s="78">
        <f>ROUND(F7*$C$7,2)</f>
        <v>0</v>
      </c>
      <c r="H7" s="79"/>
      <c r="I7" s="78">
        <f>ROUND(H7*$C$7,2)</f>
        <v>0</v>
      </c>
      <c r="J7" s="79">
        <f>SUM(H7,F7,D7)</f>
        <v>1</v>
      </c>
      <c r="K7" s="78">
        <f>SUM(I7,G7,E7)</f>
        <v>0</v>
      </c>
    </row>
    <row r="8" spans="1:11" s="80" customFormat="1" ht="16.5" customHeight="1" x14ac:dyDescent="0.2">
      <c r="A8" s="76" t="s">
        <v>181</v>
      </c>
      <c r="B8" s="77" t="str">
        <f>ORCAMENTO!C17</f>
        <v>Fundação</v>
      </c>
      <c r="C8" s="78">
        <f>ROUNDUP(ORCAMENTO!J29*1.2334,2)</f>
        <v>0</v>
      </c>
      <c r="D8" s="79">
        <v>1</v>
      </c>
      <c r="E8" s="78">
        <f>ROUND(D8*$C$8,2)</f>
        <v>0</v>
      </c>
      <c r="F8" s="79"/>
      <c r="G8" s="78">
        <f>ROUND(F8*$C$8,2)</f>
        <v>0</v>
      </c>
      <c r="H8" s="79"/>
      <c r="I8" s="78">
        <f>ROUND(H8*$C$8,2)</f>
        <v>0</v>
      </c>
      <c r="J8" s="79">
        <f t="shared" ref="J8:J18" si="0">SUM(H8,F8,D8)</f>
        <v>1</v>
      </c>
      <c r="K8" s="78">
        <f t="shared" ref="K8:K18" si="1">SUM(I8,G8,E8)</f>
        <v>0</v>
      </c>
    </row>
    <row r="9" spans="1:11" s="80" customFormat="1" ht="16.5" customHeight="1" x14ac:dyDescent="0.2">
      <c r="A9" s="76" t="s">
        <v>8</v>
      </c>
      <c r="B9" s="77" t="str">
        <f>ORCAMENTO!C30</f>
        <v>Paredes e painéis</v>
      </c>
      <c r="C9" s="78">
        <f>ROUND(ORCAMENTO!J38*1.2334,2)</f>
        <v>0</v>
      </c>
      <c r="D9" s="79">
        <v>1</v>
      </c>
      <c r="E9" s="78">
        <f>ROUND(D9*$C$9,2)</f>
        <v>0</v>
      </c>
      <c r="F9" s="79"/>
      <c r="G9" s="78">
        <f>ROUND(F9*$C$9,2)</f>
        <v>0</v>
      </c>
      <c r="H9" s="79"/>
      <c r="I9" s="78">
        <f>ROUND(H9*$C$9,2)</f>
        <v>0</v>
      </c>
      <c r="J9" s="79">
        <f t="shared" si="0"/>
        <v>1</v>
      </c>
      <c r="K9" s="78">
        <f t="shared" si="1"/>
        <v>0</v>
      </c>
    </row>
    <row r="10" spans="1:11" s="80" customFormat="1" ht="16.5" customHeight="1" x14ac:dyDescent="0.2">
      <c r="A10" s="76" t="s">
        <v>13</v>
      </c>
      <c r="B10" s="77" t="str">
        <f>ORCAMENTO!C39</f>
        <v>Revestimento de Piso e Parede</v>
      </c>
      <c r="C10" s="78">
        <f>ROUND(ORCAMENTO!J47*1.2334,2)</f>
        <v>0</v>
      </c>
      <c r="D10" s="79"/>
      <c r="E10" s="78">
        <f>ROUND(D10*$C$10,2)</f>
        <v>0</v>
      </c>
      <c r="F10" s="79">
        <v>1</v>
      </c>
      <c r="G10" s="78">
        <f>ROUND(F10*$C$10,2)</f>
        <v>0</v>
      </c>
      <c r="H10" s="79"/>
      <c r="I10" s="78">
        <f>ROUND(H10*$C$10,2)</f>
        <v>0</v>
      </c>
      <c r="J10" s="79">
        <f t="shared" si="0"/>
        <v>1</v>
      </c>
      <c r="K10" s="78">
        <f t="shared" si="1"/>
        <v>0</v>
      </c>
    </row>
    <row r="11" spans="1:11" s="80" customFormat="1" ht="16.5" customHeight="1" x14ac:dyDescent="0.2">
      <c r="A11" s="76" t="s">
        <v>16</v>
      </c>
      <c r="B11" s="77" t="str">
        <f>ORCAMENTO!C48</f>
        <v>Cobertura</v>
      </c>
      <c r="C11" s="78">
        <f>ROUND(ORCAMENTO!J53*1.2334,2)</f>
        <v>0</v>
      </c>
      <c r="D11" s="79"/>
      <c r="E11" s="78">
        <f>ROUND(D11*$C$11,2)</f>
        <v>0</v>
      </c>
      <c r="F11" s="79">
        <v>1</v>
      </c>
      <c r="G11" s="78">
        <f>ROUND(F11*$C$11,2)</f>
        <v>0</v>
      </c>
      <c r="H11" s="79"/>
      <c r="I11" s="78">
        <f>ROUND(H11*$C$11,2)</f>
        <v>0</v>
      </c>
      <c r="J11" s="79">
        <f t="shared" si="0"/>
        <v>1</v>
      </c>
      <c r="K11" s="78">
        <f t="shared" si="1"/>
        <v>0</v>
      </c>
    </row>
    <row r="12" spans="1:11" s="80" customFormat="1" ht="16.5" customHeight="1" x14ac:dyDescent="0.2">
      <c r="A12" s="76" t="s">
        <v>22</v>
      </c>
      <c r="B12" s="77" t="str">
        <f>ORCAMENTO!C54</f>
        <v>Esquadrias</v>
      </c>
      <c r="C12" s="78">
        <f>ROUND(ORCAMENTO!J59*1.2334,2)</f>
        <v>0</v>
      </c>
      <c r="D12" s="79"/>
      <c r="E12" s="78">
        <f>ROUND(D12*$C$12,2)</f>
        <v>0</v>
      </c>
      <c r="F12" s="79">
        <v>1</v>
      </c>
      <c r="G12" s="78">
        <f>ROUND(F12*$C$12,2)</f>
        <v>0</v>
      </c>
      <c r="H12" s="79"/>
      <c r="I12" s="78">
        <f>ROUND(H12*$C$12,2)</f>
        <v>0</v>
      </c>
      <c r="J12" s="79">
        <f t="shared" si="0"/>
        <v>1</v>
      </c>
      <c r="K12" s="78">
        <f t="shared" si="1"/>
        <v>0</v>
      </c>
    </row>
    <row r="13" spans="1:11" s="80" customFormat="1" ht="16.5" customHeight="1" x14ac:dyDescent="0.2">
      <c r="A13" s="76" t="s">
        <v>28</v>
      </c>
      <c r="B13" s="77" t="str">
        <f>ORCAMENTO!C60</f>
        <v>Pintura</v>
      </c>
      <c r="C13" s="78">
        <f>ROUND(ORCAMENTO!J63*1.2334,2)</f>
        <v>0</v>
      </c>
      <c r="D13" s="79"/>
      <c r="E13" s="78">
        <f>ROUND(D13*$C$13,2)</f>
        <v>0</v>
      </c>
      <c r="F13" s="79"/>
      <c r="G13" s="78">
        <f>ROUND(F13*$C$13,2)</f>
        <v>0</v>
      </c>
      <c r="H13" s="79">
        <v>1</v>
      </c>
      <c r="I13" s="78">
        <f>ROUND(H13*$C$13,2)</f>
        <v>0</v>
      </c>
      <c r="J13" s="79">
        <f t="shared" si="0"/>
        <v>1</v>
      </c>
      <c r="K13" s="78">
        <f t="shared" si="1"/>
        <v>0</v>
      </c>
    </row>
    <row r="14" spans="1:11" s="80" customFormat="1" ht="16.5" customHeight="1" x14ac:dyDescent="0.2">
      <c r="A14" s="76" t="s">
        <v>32</v>
      </c>
      <c r="B14" s="77" t="str">
        <f>ORCAMENTO!C64</f>
        <v>Aparelhos e metais</v>
      </c>
      <c r="C14" s="78">
        <f>ROUND(ORCAMENTO!J73*1.2334,2)</f>
        <v>0</v>
      </c>
      <c r="D14" s="79"/>
      <c r="E14" s="78">
        <f>ROUND(D14*$C$14,2)</f>
        <v>0</v>
      </c>
      <c r="F14" s="79"/>
      <c r="G14" s="78">
        <f>ROUND(F14*$C$14,2)</f>
        <v>0</v>
      </c>
      <c r="H14" s="79">
        <v>1</v>
      </c>
      <c r="I14" s="78">
        <f>ROUND(H14*$C$14,2)</f>
        <v>0</v>
      </c>
      <c r="J14" s="79">
        <f t="shared" si="0"/>
        <v>1</v>
      </c>
      <c r="K14" s="78">
        <f t="shared" si="1"/>
        <v>0</v>
      </c>
    </row>
    <row r="15" spans="1:11" s="80" customFormat="1" ht="16.5" customHeight="1" x14ac:dyDescent="0.2">
      <c r="A15" s="76" t="s">
        <v>36</v>
      </c>
      <c r="B15" s="77" t="str">
        <f>ORCAMENTO!C74</f>
        <v>Instalações elétricas</v>
      </c>
      <c r="C15" s="78">
        <f>ROUND(ORCAMENTO!J95*1.2334,2)</f>
        <v>0</v>
      </c>
      <c r="D15" s="79"/>
      <c r="E15" s="78">
        <f>ROUND(D15*$C$15,2)</f>
        <v>0</v>
      </c>
      <c r="F15" s="79">
        <v>0.5</v>
      </c>
      <c r="G15" s="78">
        <f>ROUND(F15*$C$15,2)</f>
        <v>0</v>
      </c>
      <c r="H15" s="79">
        <v>0.5</v>
      </c>
      <c r="I15" s="78">
        <f>ROUNDDOWN(H15*$C$15,2)</f>
        <v>0</v>
      </c>
      <c r="J15" s="79">
        <f t="shared" si="0"/>
        <v>1</v>
      </c>
      <c r="K15" s="78">
        <f t="shared" si="1"/>
        <v>0</v>
      </c>
    </row>
    <row r="16" spans="1:11" s="80" customFormat="1" ht="16.5" customHeight="1" x14ac:dyDescent="0.2">
      <c r="A16" s="76" t="s">
        <v>199</v>
      </c>
      <c r="B16" s="77" t="str">
        <f>ORCAMENTO!C96</f>
        <v>Instalações hidráulicas</v>
      </c>
      <c r="C16" s="78">
        <f>ROUND(ORCAMENTO!J113*1.2334,2)</f>
        <v>0</v>
      </c>
      <c r="D16" s="79"/>
      <c r="E16" s="78">
        <f>ROUND(D16*$C$16,2)</f>
        <v>0</v>
      </c>
      <c r="F16" s="79">
        <v>0.5</v>
      </c>
      <c r="G16" s="78">
        <f>ROUND(F16*$C$16,2)</f>
        <v>0</v>
      </c>
      <c r="H16" s="79">
        <v>0.5</v>
      </c>
      <c r="I16" s="78">
        <f>ROUNDDOWN(H16*$C$16,2)</f>
        <v>0</v>
      </c>
      <c r="J16" s="79">
        <f t="shared" si="0"/>
        <v>1</v>
      </c>
      <c r="K16" s="78">
        <f t="shared" si="1"/>
        <v>0</v>
      </c>
    </row>
    <row r="17" spans="1:11" s="80" customFormat="1" ht="16.5" customHeight="1" x14ac:dyDescent="0.2">
      <c r="A17" s="76" t="s">
        <v>140</v>
      </c>
      <c r="B17" s="77" t="str">
        <f>ORCAMENTO!C114</f>
        <v>Instalações sanitárias</v>
      </c>
      <c r="C17" s="78">
        <f>ROUND(ORCAMENTO!J127*1.2334,2)</f>
        <v>0</v>
      </c>
      <c r="D17" s="79"/>
      <c r="E17" s="78">
        <f>ROUND(D17*$C$17,2)</f>
        <v>0</v>
      </c>
      <c r="F17" s="79">
        <v>0.5</v>
      </c>
      <c r="G17" s="78">
        <f>ROUND(F17*$C$17,2)</f>
        <v>0</v>
      </c>
      <c r="H17" s="79">
        <v>0.5</v>
      </c>
      <c r="I17" s="78">
        <f>ROUNDDOWN(H17*$C$17,2)</f>
        <v>0</v>
      </c>
      <c r="J17" s="79">
        <f t="shared" si="0"/>
        <v>1</v>
      </c>
      <c r="K17" s="78">
        <f t="shared" si="1"/>
        <v>0</v>
      </c>
    </row>
    <row r="18" spans="1:11" s="80" customFormat="1" ht="16.5" customHeight="1" x14ac:dyDescent="0.2">
      <c r="A18" s="76" t="s">
        <v>223</v>
      </c>
      <c r="B18" s="77" t="str">
        <f>ORCAMENTO!C128</f>
        <v>Administração</v>
      </c>
      <c r="C18" s="78">
        <f>ROUND(ORCAMENTO!J131*1.2334,2)</f>
        <v>0</v>
      </c>
      <c r="D18" s="79">
        <v>0.31409999999999999</v>
      </c>
      <c r="E18" s="78">
        <f>ROUND(D18*$C$18,2)</f>
        <v>0</v>
      </c>
      <c r="F18" s="79">
        <v>0.52110000000000001</v>
      </c>
      <c r="G18" s="78">
        <f>ROUND(F18*$C$18,2)</f>
        <v>0</v>
      </c>
      <c r="H18" s="79">
        <v>0.1648</v>
      </c>
      <c r="I18" s="78">
        <f>ROUND(H18*$C$18,2)</f>
        <v>0</v>
      </c>
      <c r="J18" s="79">
        <f t="shared" si="0"/>
        <v>1</v>
      </c>
      <c r="K18" s="78">
        <f t="shared" si="1"/>
        <v>0</v>
      </c>
    </row>
    <row r="19" spans="1:11" s="85" customFormat="1" ht="16.5" customHeight="1" x14ac:dyDescent="0.2">
      <c r="A19" s="75"/>
      <c r="B19" s="81"/>
      <c r="C19" s="82"/>
      <c r="D19" s="84"/>
      <c r="E19" s="83"/>
      <c r="F19" s="84"/>
      <c r="G19" s="83"/>
      <c r="H19" s="84"/>
      <c r="I19" s="83"/>
      <c r="J19" s="84"/>
      <c r="K19" s="83"/>
    </row>
    <row r="20" spans="1:11" s="86" customFormat="1" ht="16.5" customHeight="1" x14ac:dyDescent="0.2">
      <c r="A20" s="109" t="s">
        <v>241</v>
      </c>
      <c r="B20" s="110"/>
      <c r="C20" s="83">
        <f>SUM(C7:C19)</f>
        <v>0</v>
      </c>
      <c r="D20" s="84" t="e">
        <f>ROUND(E20/$C$20,4)</f>
        <v>#DIV/0!</v>
      </c>
      <c r="E20" s="83">
        <f>SUM(E7:E18)</f>
        <v>0</v>
      </c>
      <c r="F20" s="84" t="e">
        <f>ROUND(G20/$C$20,4)</f>
        <v>#DIV/0!</v>
      </c>
      <c r="G20" s="83">
        <f>SUM(G7:G18)</f>
        <v>0</v>
      </c>
      <c r="H20" s="84" t="e">
        <f>ROUND(I20/$C$20,4)</f>
        <v>#DIV/0!</v>
      </c>
      <c r="I20" s="83">
        <f>SUM(I7:I18)</f>
        <v>0</v>
      </c>
      <c r="J20" s="84" t="e">
        <f>ROUND(K20/$C$20,4)</f>
        <v>#DIV/0!</v>
      </c>
      <c r="K20" s="83">
        <f>SUM(K7:K18)</f>
        <v>0</v>
      </c>
    </row>
    <row r="21" spans="1:11" s="85" customFormat="1" ht="16.5" customHeight="1" x14ac:dyDescent="0.2">
      <c r="A21" s="109" t="s">
        <v>242</v>
      </c>
      <c r="B21" s="109"/>
      <c r="C21" s="109"/>
      <c r="D21" s="84" t="e">
        <f>ROUND(E21/$C$20,4)</f>
        <v>#DIV/0!</v>
      </c>
      <c r="E21" s="83">
        <f>E20</f>
        <v>0</v>
      </c>
      <c r="F21" s="84" t="e">
        <f>ROUND(G21/$C$20,4)</f>
        <v>#DIV/0!</v>
      </c>
      <c r="G21" s="83">
        <f>G20+E21</f>
        <v>0</v>
      </c>
      <c r="H21" s="84" t="e">
        <f>ROUND(I21/$C$20,4)</f>
        <v>#DIV/0!</v>
      </c>
      <c r="I21" s="83">
        <f>I20+G21</f>
        <v>0</v>
      </c>
      <c r="J21" s="84" t="e">
        <f>ROUND(K21/$C$20,4)</f>
        <v>#DIV/0!</v>
      </c>
      <c r="K21" s="83">
        <f>K20</f>
        <v>0</v>
      </c>
    </row>
    <row r="22" spans="1:11" x14ac:dyDescent="0.2">
      <c r="C22" s="72"/>
    </row>
    <row r="25" spans="1:11" x14ac:dyDescent="0.2">
      <c r="K25" s="90"/>
    </row>
  </sheetData>
  <mergeCells count="11">
    <mergeCell ref="A21:C21"/>
    <mergeCell ref="A20:B20"/>
    <mergeCell ref="A1:K1"/>
    <mergeCell ref="A2:K2"/>
    <mergeCell ref="J5:K5"/>
    <mergeCell ref="D5:E5"/>
    <mergeCell ref="F5:G5"/>
    <mergeCell ref="H5:I5"/>
    <mergeCell ref="C5:C6"/>
    <mergeCell ref="A5:A6"/>
    <mergeCell ref="B5:B6"/>
  </mergeCells>
  <phoneticPr fontId="20" type="noConversion"/>
  <printOptions horizontalCentered="1"/>
  <pageMargins left="0.19685039370078741" right="0.19685039370078741" top="1.5748031496062993" bottom="0.78740157480314965" header="0" footer="0"/>
  <pageSetup paperSize="9" scale="75" orientation="landscape" r:id="rId1"/>
  <headerFooter alignWithMargins="0">
    <oddHeader>&amp;R&amp;G</oddHeader>
    <oddFooter>&amp;L&amp;8DEPARTAMENTO DE ENGENHARIA&amp;R&amp;P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BDI</vt:lpstr>
      <vt:lpstr>ORCAMENTO</vt:lpstr>
      <vt:lpstr>CRONOGRAMA</vt:lpstr>
      <vt:lpstr>BDI!Area_de_impressao</vt:lpstr>
      <vt:lpstr>CRONOGRAMA!Area_de_impressao</vt:lpstr>
      <vt:lpstr>ORCAMENTO!Area_de_impressao</vt:lpstr>
      <vt:lpstr>CRONOGRAMA!Titulos_de_impressao</vt:lpstr>
      <vt:lpstr>ORCAMENTO!Titulos_de_impressao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Premium</dc:creator>
  <cp:lastModifiedBy>Ouvidor</cp:lastModifiedBy>
  <cp:lastPrinted>2021-10-20T18:20:43Z</cp:lastPrinted>
  <dcterms:created xsi:type="dcterms:W3CDTF">2005-07-30T22:35:56Z</dcterms:created>
  <dcterms:modified xsi:type="dcterms:W3CDTF">2021-11-09T18:55:20Z</dcterms:modified>
</cp:coreProperties>
</file>