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SERVIDOR-PC\servidor arquivos\NOVO SERVIDOR\MADALENA\CONCORRÊNCIA PÚBLICA\2023\03-2023 30 CASAS\"/>
    </mc:Choice>
  </mc:AlternateContent>
  <bookViews>
    <workbookView xWindow="0" yWindow="0" windowWidth="17970" windowHeight="6825" activeTab="1"/>
  </bookViews>
  <sheets>
    <sheet name="BDI" sheetId="7" r:id="rId1"/>
    <sheet name="ORCAMENTO" sheetId="9" r:id="rId2"/>
    <sheet name="CRONOGRAMA" sheetId="10" r:id="rId3"/>
  </sheets>
  <externalReferences>
    <externalReference r:id="rId4"/>
  </externalReferences>
  <definedNames>
    <definedName name="aa" localSheetId="2">#REF!</definedName>
    <definedName name="aa" localSheetId="1">#REF!</definedName>
    <definedName name="aa">#REF!</definedName>
    <definedName name="AB" localSheetId="2">#REF!</definedName>
    <definedName name="AB" localSheetId="1">#REF!</definedName>
    <definedName name="AB">#REF!</definedName>
    <definedName name="_xlnm.Print_Area" localSheetId="0">BDI!$A$1:$J$40</definedName>
    <definedName name="_xlnm.Print_Area" localSheetId="2">CRONOGRAMA!$A$1:$AC$18</definedName>
    <definedName name="_xlnm.Print_Area" localSheetId="1">ORCAMENTO!$A$1:$L$153</definedName>
    <definedName name="_xlnm.Database" localSheetId="2">#REF!</definedName>
    <definedName name="_xlnm.Database" localSheetId="1">#REF!</definedName>
    <definedName name="_xlnm.Database">#REF!</definedName>
    <definedName name="desagio" localSheetId="2">#REF!</definedName>
    <definedName name="desagio" localSheetId="1">#REF!</definedName>
    <definedName name="desagio">#REF!</definedName>
    <definedName name="DTF" localSheetId="2">#REF!</definedName>
    <definedName name="DTF" localSheetId="1">#REF!</definedName>
    <definedName name="DTF">#REF!</definedName>
    <definedName name="DTI" localSheetId="2">#REF!</definedName>
    <definedName name="DTI" localSheetId="1">#REF!</definedName>
    <definedName name="DTI">#REF!</definedName>
    <definedName name="Excel_BuiltIn_Print_Titles_2" localSheetId="2">#REF!</definedName>
    <definedName name="Excel_BuiltIn_Print_Titles_2" localSheetId="1">#REF!</definedName>
    <definedName name="Excel_BuiltIn_Print_Titles_2">#REF!</definedName>
    <definedName name="ir" localSheetId="2">#REF!</definedName>
    <definedName name="ir" localSheetId="1">#REF!</definedName>
    <definedName name="ir">#REF!</definedName>
    <definedName name="Mecanica" localSheetId="2">#REF!</definedName>
    <definedName name="Mecanica" localSheetId="1">#REF!</definedName>
    <definedName name="Mecanica">#REF!</definedName>
    <definedName name="NOIN" localSheetId="2">#REF!</definedName>
    <definedName name="NOIN" localSheetId="1">#REF!</definedName>
    <definedName name="NOIN">#REF!</definedName>
    <definedName name="PAR" localSheetId="2">#REF!</definedName>
    <definedName name="PAR" localSheetId="1">#REF!</definedName>
    <definedName name="PAR">#REF!</definedName>
    <definedName name="pp" localSheetId="2">#REF!</definedName>
    <definedName name="pp" localSheetId="1">#REF!</definedName>
    <definedName name="pp">#REF!</definedName>
    <definedName name="PPUMO" localSheetId="2">'[1]Orçamento Básico'!#REF!</definedName>
    <definedName name="PPUMO" localSheetId="1">'[1]Orçamento Básico'!#REF!</definedName>
    <definedName name="PPUMO">'[1]Orçamento Básico'!#REF!</definedName>
    <definedName name="PU" localSheetId="2">#REF!</definedName>
    <definedName name="PU" localSheetId="1">#REF!</definedName>
    <definedName name="PU">#REF!</definedName>
    <definedName name="PUM" localSheetId="2">'[1]Orçamento Básico'!#REF!</definedName>
    <definedName name="PUM" localSheetId="1">'[1]Orçamento Básico'!#REF!</definedName>
    <definedName name="PUM">'[1]Orçamento Básico'!#REF!</definedName>
    <definedName name="PUMO" localSheetId="2">'[1]Orçamento Básico'!#REF!</definedName>
    <definedName name="PUMO" localSheetId="1">'[1]Orçamento Básico'!#REF!</definedName>
    <definedName name="PUMO">'[1]Orçamento Básico'!#REF!</definedName>
    <definedName name="QF" localSheetId="2">#REF!</definedName>
    <definedName name="QF" localSheetId="1">#REF!</definedName>
    <definedName name="QF">#REF!</definedName>
    <definedName name="QI" localSheetId="2">#REF!</definedName>
    <definedName name="QI" localSheetId="1">#REF!</definedName>
    <definedName name="QI">#REF!</definedName>
    <definedName name="QTDE" localSheetId="2">#REF!</definedName>
    <definedName name="QTDE" localSheetId="1">#REF!</definedName>
    <definedName name="QTDE">#REF!</definedName>
    <definedName name="STM" localSheetId="2">'[1]Orçamento Básico'!#REF!</definedName>
    <definedName name="STM" localSheetId="1">'[1]Orçamento Básico'!#REF!</definedName>
    <definedName name="STM">'[1]Orçamento Básico'!#REF!</definedName>
    <definedName name="STMM" localSheetId="2">'[1]Orçamento Básico'!#REF!</definedName>
    <definedName name="STMM" localSheetId="1">'[1]Orçamento Básico'!#REF!</definedName>
    <definedName name="STMM">'[1]Orçamento Básico'!#REF!</definedName>
    <definedName name="STMO" localSheetId="2">'[1]Orçamento Básico'!#REF!</definedName>
    <definedName name="STMO" localSheetId="1">'[1]Orçamento Básico'!#REF!</definedName>
    <definedName name="STMO">'[1]Orçamento Básico'!#REF!</definedName>
    <definedName name="STMO1" localSheetId="2">'[1]Orçamento Básico'!#REF!</definedName>
    <definedName name="STMO1" localSheetId="1">'[1]Orçamento Básico'!#REF!</definedName>
    <definedName name="STMO1">'[1]Orçamento Básico'!#REF!</definedName>
    <definedName name="taxa" localSheetId="2">#REF!</definedName>
    <definedName name="taxa" localSheetId="1">#REF!</definedName>
    <definedName name="taxa">#REF!</definedName>
    <definedName name="_xlnm.Print_Titles" localSheetId="2">CRONOGRAMA!$A:$C,CRONOGRAMA!$1:$2</definedName>
    <definedName name="_xlnm.Print_Titles" localSheetId="1">ORCAMENTO!$1:$8</definedName>
    <definedName name="total" localSheetId="2">#REF!</definedName>
    <definedName name="total" localSheetId="1">#REF!</definedName>
    <definedName name="total">#REF!</definedName>
    <definedName name="Volume" localSheetId="2">#REF!</definedName>
    <definedName name="Volume" localSheetId="1">#REF!</definedName>
    <definedName name="Volume">#REF!</definedName>
    <definedName name="vpf" localSheetId="2">#REF!</definedName>
    <definedName name="vpf" localSheetId="1">#REF!</definedName>
    <definedName name="vpf">#REF!</definedName>
    <definedName name="vpi" localSheetId="2">#REF!</definedName>
    <definedName name="vpi" localSheetId="1">#REF!</definedName>
    <definedName name="vpi">#REF!</definedName>
  </definedNames>
  <calcPr calcId="191029"/>
</workbook>
</file>

<file path=xl/calcChain.xml><?xml version="1.0" encoding="utf-8"?>
<calcChain xmlns="http://schemas.openxmlformats.org/spreadsheetml/2006/main">
  <c r="I85" i="9" l="1"/>
  <c r="I139" i="9"/>
  <c r="Z15" i="10"/>
  <c r="X15" i="10"/>
  <c r="V15" i="10"/>
  <c r="T15" i="10"/>
  <c r="R15" i="10"/>
  <c r="P15" i="10"/>
  <c r="N15" i="10"/>
  <c r="L15" i="10"/>
  <c r="J15" i="10"/>
  <c r="D15" i="10"/>
  <c r="F15" i="10" s="1"/>
  <c r="AB3" i="10"/>
  <c r="AB4" i="10"/>
  <c r="AB5" i="10"/>
  <c r="AB6" i="10"/>
  <c r="AB7" i="10"/>
  <c r="AB8" i="10"/>
  <c r="AB9" i="10"/>
  <c r="AB10" i="10"/>
  <c r="AB11" i="10"/>
  <c r="AB12" i="10"/>
  <c r="AB13" i="10"/>
  <c r="AB14" i="10"/>
  <c r="E11" i="9"/>
  <c r="E12" i="9"/>
  <c r="E13" i="9"/>
  <c r="E14" i="9"/>
  <c r="E15" i="9"/>
  <c r="E20" i="9"/>
  <c r="E21" i="9"/>
  <c r="E22" i="9"/>
  <c r="E36" i="9"/>
  <c r="E37" i="9"/>
  <c r="E45" i="9"/>
  <c r="E47" i="9"/>
  <c r="E48" i="9"/>
  <c r="E52" i="9"/>
  <c r="E59" i="9"/>
  <c r="E68" i="9"/>
  <c r="E69" i="9"/>
  <c r="E70" i="9"/>
  <c r="E71" i="9"/>
  <c r="E72" i="9"/>
  <c r="E73" i="9"/>
  <c r="E74" i="9"/>
  <c r="E78" i="9"/>
  <c r="E79" i="9"/>
  <c r="E80" i="9"/>
  <c r="E81" i="9"/>
  <c r="E82" i="9"/>
  <c r="E83" i="9"/>
  <c r="E84" i="9"/>
  <c r="E85" i="9"/>
  <c r="E86" i="9"/>
  <c r="E87" i="9"/>
  <c r="E89" i="9"/>
  <c r="E90" i="9"/>
  <c r="E91" i="9"/>
  <c r="E92" i="9"/>
  <c r="E93" i="9"/>
  <c r="E94" i="9"/>
  <c r="E95" i="9"/>
  <c r="E96" i="9"/>
  <c r="E97" i="9"/>
  <c r="E98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7" i="9"/>
  <c r="E146" i="9"/>
  <c r="E126" i="9"/>
  <c r="E101" i="9"/>
  <c r="E77" i="9"/>
  <c r="E67" i="9"/>
  <c r="E51" i="9"/>
  <c r="E31" i="9"/>
  <c r="E18" i="9"/>
  <c r="D53" i="9"/>
  <c r="E53" i="9" s="1"/>
  <c r="D54" i="9"/>
  <c r="J54" i="9" s="1"/>
  <c r="D35" i="9"/>
  <c r="E35" i="9" s="1"/>
  <c r="D33" i="9"/>
  <c r="E33" i="9" s="1"/>
  <c r="D26" i="9"/>
  <c r="E26" i="9" s="1"/>
  <c r="D25" i="9"/>
  <c r="E25" i="9" s="1"/>
  <c r="D34" i="9"/>
  <c r="J34" i="9" s="1"/>
  <c r="D23" i="9"/>
  <c r="I23" i="9" s="1"/>
  <c r="I112" i="9"/>
  <c r="D40" i="9"/>
  <c r="D43" i="9" s="1"/>
  <c r="D63" i="9" s="1"/>
  <c r="E63" i="9" s="1"/>
  <c r="D44" i="9"/>
  <c r="E44" i="9" s="1"/>
  <c r="D28" i="9"/>
  <c r="E28" i="9" s="1"/>
  <c r="D27" i="9"/>
  <c r="E27" i="9" s="1"/>
  <c r="D21" i="9"/>
  <c r="D19" i="9"/>
  <c r="E19" i="9" s="1"/>
  <c r="D18" i="9"/>
  <c r="J93" i="9"/>
  <c r="I93" i="9"/>
  <c r="L93" i="9" s="1"/>
  <c r="I86" i="9"/>
  <c r="J86" i="9"/>
  <c r="L86" i="9" s="1"/>
  <c r="D58" i="9"/>
  <c r="E58" i="9" s="1"/>
  <c r="D46" i="9"/>
  <c r="E46" i="9" s="1"/>
  <c r="E54" i="9" l="1"/>
  <c r="I54" i="9"/>
  <c r="L54" i="9" s="1"/>
  <c r="H15" i="10"/>
  <c r="J53" i="9"/>
  <c r="K53" i="9" s="1"/>
  <c r="E34" i="9"/>
  <c r="I53" i="9"/>
  <c r="E43" i="9"/>
  <c r="E23" i="9"/>
  <c r="E40" i="9"/>
  <c r="I34" i="9"/>
  <c r="K93" i="9"/>
  <c r="K86" i="9"/>
  <c r="K54" i="9"/>
  <c r="K34" i="9" l="1"/>
  <c r="L34" i="9"/>
  <c r="L53" i="9"/>
  <c r="J40" i="9"/>
  <c r="I40" i="9"/>
  <c r="B6" i="10"/>
  <c r="J134" i="9"/>
  <c r="I134" i="9"/>
  <c r="J130" i="9"/>
  <c r="I130" i="9"/>
  <c r="L130" i="9" s="1"/>
  <c r="J135" i="9"/>
  <c r="I135" i="9"/>
  <c r="J129" i="9"/>
  <c r="I129" i="9"/>
  <c r="J136" i="9"/>
  <c r="I136" i="9"/>
  <c r="L136" i="9" s="1"/>
  <c r="J131" i="9"/>
  <c r="I131" i="9"/>
  <c r="J107" i="9"/>
  <c r="I107" i="9"/>
  <c r="J113" i="9"/>
  <c r="I113" i="9"/>
  <c r="L113" i="9" s="1"/>
  <c r="J112" i="9"/>
  <c r="L112" i="9" s="1"/>
  <c r="J106" i="9"/>
  <c r="I106" i="9"/>
  <c r="L106" i="9" s="1"/>
  <c r="J108" i="9"/>
  <c r="I108" i="9"/>
  <c r="J96" i="9"/>
  <c r="I96" i="9"/>
  <c r="J111" i="9"/>
  <c r="I111" i="9"/>
  <c r="L111" i="9" s="1"/>
  <c r="J121" i="9"/>
  <c r="I121" i="9"/>
  <c r="L121" i="9" s="1"/>
  <c r="J120" i="9"/>
  <c r="I120" i="9"/>
  <c r="J119" i="9"/>
  <c r="I119" i="9"/>
  <c r="L119" i="9" s="1"/>
  <c r="J118" i="9"/>
  <c r="I118" i="9"/>
  <c r="L118" i="9" s="1"/>
  <c r="D88" i="9"/>
  <c r="E88" i="9" s="1"/>
  <c r="J97" i="9"/>
  <c r="I97" i="9"/>
  <c r="D60" i="9"/>
  <c r="E60" i="9" s="1"/>
  <c r="D57" i="9"/>
  <c r="J18" i="9"/>
  <c r="I13" i="9"/>
  <c r="J85" i="9"/>
  <c r="L85" i="9" s="1"/>
  <c r="L97" i="9" l="1"/>
  <c r="L131" i="9"/>
  <c r="L135" i="9"/>
  <c r="L107" i="9"/>
  <c r="L129" i="9"/>
  <c r="L134" i="9"/>
  <c r="L108" i="9"/>
  <c r="L96" i="9"/>
  <c r="L40" i="9"/>
  <c r="L41" i="9" s="1"/>
  <c r="L120" i="9"/>
  <c r="D64" i="9"/>
  <c r="E64" i="9" s="1"/>
  <c r="E57" i="9"/>
  <c r="K40" i="9"/>
  <c r="K134" i="9"/>
  <c r="K130" i="9"/>
  <c r="K107" i="9"/>
  <c r="K129" i="9"/>
  <c r="K135" i="9"/>
  <c r="K136" i="9"/>
  <c r="K131" i="9"/>
  <c r="K112" i="9"/>
  <c r="K113" i="9"/>
  <c r="K108" i="9"/>
  <c r="K106" i="9"/>
  <c r="K96" i="9"/>
  <c r="K121" i="9"/>
  <c r="K111" i="9"/>
  <c r="K120" i="9"/>
  <c r="K118" i="9"/>
  <c r="K119" i="9"/>
  <c r="K97" i="9"/>
  <c r="K85" i="9"/>
  <c r="J48" i="9"/>
  <c r="K41" i="9" l="1"/>
  <c r="I48" i="9"/>
  <c r="K48" i="9" l="1"/>
  <c r="L48" i="9"/>
  <c r="J14" i="9"/>
  <c r="I14" i="9"/>
  <c r="L14" i="9" s="1"/>
  <c r="J13" i="9"/>
  <c r="L13" i="9" s="1"/>
  <c r="J11" i="9"/>
  <c r="I11" i="9"/>
  <c r="J12" i="9"/>
  <c r="I12" i="9"/>
  <c r="J95" i="9"/>
  <c r="I95" i="9"/>
  <c r="L95" i="9" s="1"/>
  <c r="J94" i="9"/>
  <c r="I94" i="9"/>
  <c r="J83" i="9"/>
  <c r="I83" i="9"/>
  <c r="J77" i="9"/>
  <c r="I77" i="9"/>
  <c r="L77" i="9" s="1"/>
  <c r="J87" i="9"/>
  <c r="I87" i="9"/>
  <c r="L83" i="9" l="1"/>
  <c r="L12" i="9"/>
  <c r="L87" i="9"/>
  <c r="L94" i="9"/>
  <c r="L11" i="9"/>
  <c r="K14" i="9"/>
  <c r="K13" i="9"/>
  <c r="K83" i="9"/>
  <c r="K12" i="9"/>
  <c r="K11" i="9"/>
  <c r="K95" i="9"/>
  <c r="K94" i="9"/>
  <c r="K87" i="9"/>
  <c r="K77" i="9"/>
  <c r="D10" i="9"/>
  <c r="E10" i="9" s="1"/>
  <c r="B15" i="10"/>
  <c r="B14" i="10"/>
  <c r="B13" i="10"/>
  <c r="B12" i="10"/>
  <c r="B11" i="10"/>
  <c r="B10" i="10"/>
  <c r="B9" i="10"/>
  <c r="B8" i="10"/>
  <c r="B7" i="10"/>
  <c r="B5" i="10"/>
  <c r="B4" i="10"/>
  <c r="B3" i="10"/>
  <c r="J15" i="9"/>
  <c r="I15" i="9"/>
  <c r="L15" i="9" s="1"/>
  <c r="J10" i="9" l="1"/>
  <c r="I10" i="9"/>
  <c r="K15" i="9"/>
  <c r="L10" i="9" l="1"/>
  <c r="L16" i="9" s="1"/>
  <c r="K10" i="9"/>
  <c r="K16" i="9" s="1"/>
  <c r="J147" i="9"/>
  <c r="J146" i="9"/>
  <c r="I146" i="9"/>
  <c r="L146" i="9" s="1"/>
  <c r="J143" i="9"/>
  <c r="I143" i="9"/>
  <c r="J142" i="9"/>
  <c r="I142" i="9"/>
  <c r="L142" i="9" s="1"/>
  <c r="J141" i="9"/>
  <c r="I141" i="9"/>
  <c r="L141" i="9" s="1"/>
  <c r="J140" i="9"/>
  <c r="I140" i="9"/>
  <c r="J139" i="9"/>
  <c r="J138" i="9"/>
  <c r="I138" i="9"/>
  <c r="L138" i="9" s="1"/>
  <c r="J137" i="9"/>
  <c r="I137" i="9"/>
  <c r="J133" i="9"/>
  <c r="I133" i="9"/>
  <c r="J132" i="9"/>
  <c r="I132" i="9"/>
  <c r="L132" i="9" s="1"/>
  <c r="J128" i="9"/>
  <c r="I128" i="9"/>
  <c r="J127" i="9"/>
  <c r="I127" i="9"/>
  <c r="J126" i="9"/>
  <c r="I126" i="9"/>
  <c r="L126" i="9" s="1"/>
  <c r="J123" i="9"/>
  <c r="I123" i="9"/>
  <c r="J122" i="9"/>
  <c r="I122" i="9"/>
  <c r="J117" i="9"/>
  <c r="I117" i="9"/>
  <c r="L117" i="9" s="1"/>
  <c r="J116" i="9"/>
  <c r="I116" i="9"/>
  <c r="J115" i="9"/>
  <c r="I115" i="9"/>
  <c r="J114" i="9"/>
  <c r="I114" i="9"/>
  <c r="L114" i="9" s="1"/>
  <c r="J110" i="9"/>
  <c r="I110" i="9"/>
  <c r="J109" i="9"/>
  <c r="I109" i="9"/>
  <c r="J105" i="9"/>
  <c r="I105" i="9"/>
  <c r="L105" i="9" s="1"/>
  <c r="J104" i="9"/>
  <c r="I104" i="9"/>
  <c r="J103" i="9"/>
  <c r="I103" i="9"/>
  <c r="J102" i="9"/>
  <c r="I102" i="9"/>
  <c r="L102" i="9" s="1"/>
  <c r="J101" i="9"/>
  <c r="I101" i="9"/>
  <c r="J98" i="9"/>
  <c r="I98" i="9"/>
  <c r="J92" i="9"/>
  <c r="I92" i="9"/>
  <c r="L92" i="9" s="1"/>
  <c r="J91" i="9"/>
  <c r="I91" i="9"/>
  <c r="J90" i="9"/>
  <c r="I90" i="9"/>
  <c r="J89" i="9"/>
  <c r="I89" i="9"/>
  <c r="L89" i="9" s="1"/>
  <c r="J88" i="9"/>
  <c r="I88" i="9"/>
  <c r="J84" i="9"/>
  <c r="I84" i="9"/>
  <c r="J82" i="9"/>
  <c r="I82" i="9"/>
  <c r="L82" i="9" s="1"/>
  <c r="J81" i="9"/>
  <c r="I81" i="9"/>
  <c r="J80" i="9"/>
  <c r="I80" i="9"/>
  <c r="J79" i="9"/>
  <c r="I79" i="9"/>
  <c r="L79" i="9" s="1"/>
  <c r="J78" i="9"/>
  <c r="I78" i="9"/>
  <c r="J74" i="9"/>
  <c r="I74" i="9"/>
  <c r="J73" i="9"/>
  <c r="I73" i="9"/>
  <c r="L73" i="9" s="1"/>
  <c r="J72" i="9"/>
  <c r="I72" i="9"/>
  <c r="J71" i="9"/>
  <c r="I71" i="9"/>
  <c r="J70" i="9"/>
  <c r="I70" i="9"/>
  <c r="L70" i="9" s="1"/>
  <c r="J69" i="9"/>
  <c r="I69" i="9"/>
  <c r="J68" i="9"/>
  <c r="I68" i="9"/>
  <c r="J67" i="9"/>
  <c r="I67" i="9"/>
  <c r="L67" i="9" s="1"/>
  <c r="J60" i="9"/>
  <c r="I60" i="9"/>
  <c r="J59" i="9"/>
  <c r="I59" i="9"/>
  <c r="J58" i="9"/>
  <c r="J57" i="9"/>
  <c r="J52" i="9"/>
  <c r="I52" i="9"/>
  <c r="J51" i="9"/>
  <c r="I51" i="9"/>
  <c r="J45" i="9"/>
  <c r="J37" i="9"/>
  <c r="I37" i="9"/>
  <c r="L37" i="9" s="1"/>
  <c r="D32" i="9"/>
  <c r="E32" i="9" s="1"/>
  <c r="I28" i="9"/>
  <c r="J27" i="9"/>
  <c r="I26" i="9"/>
  <c r="I25" i="9"/>
  <c r="J22" i="9"/>
  <c r="I21" i="9"/>
  <c r="J20" i="9"/>
  <c r="I20" i="9"/>
  <c r="L139" i="9" l="1"/>
  <c r="K139" i="9"/>
  <c r="L52" i="9"/>
  <c r="L60" i="9"/>
  <c r="L69" i="9"/>
  <c r="L72" i="9"/>
  <c r="L78" i="9"/>
  <c r="L81" i="9"/>
  <c r="L88" i="9"/>
  <c r="L91" i="9"/>
  <c r="L101" i="9"/>
  <c r="L104" i="9"/>
  <c r="L20" i="9"/>
  <c r="L51" i="9"/>
  <c r="L59" i="9"/>
  <c r="L68" i="9"/>
  <c r="L71" i="9"/>
  <c r="L74" i="9"/>
  <c r="L80" i="9"/>
  <c r="L84" i="9"/>
  <c r="L90" i="9"/>
  <c r="L98" i="9"/>
  <c r="L103" i="9"/>
  <c r="L109" i="9"/>
  <c r="L115" i="9"/>
  <c r="L122" i="9"/>
  <c r="L127" i="9"/>
  <c r="L133" i="9"/>
  <c r="L25" i="9"/>
  <c r="L140" i="9"/>
  <c r="L143" i="9"/>
  <c r="L110" i="9"/>
  <c r="L116" i="9"/>
  <c r="L123" i="9"/>
  <c r="L128" i="9"/>
  <c r="L137" i="9"/>
  <c r="K68" i="9"/>
  <c r="K98" i="9"/>
  <c r="K114" i="9"/>
  <c r="K78" i="9"/>
  <c r="K142" i="9"/>
  <c r="K133" i="9"/>
  <c r="K127" i="9"/>
  <c r="K122" i="9"/>
  <c r="K105" i="9"/>
  <c r="K90" i="9"/>
  <c r="K89" i="9"/>
  <c r="K84" i="9"/>
  <c r="K81" i="9"/>
  <c r="K79" i="9"/>
  <c r="K74" i="9"/>
  <c r="K73" i="9"/>
  <c r="K71" i="9"/>
  <c r="K67" i="9"/>
  <c r="K60" i="9"/>
  <c r="K59" i="9"/>
  <c r="K51" i="9"/>
  <c r="K37" i="9"/>
  <c r="K69" i="9"/>
  <c r="I47" i="9"/>
  <c r="K128" i="9"/>
  <c r="K140" i="9"/>
  <c r="J47" i="9"/>
  <c r="K92" i="9"/>
  <c r="K126" i="9"/>
  <c r="J33" i="9"/>
  <c r="I35" i="9"/>
  <c r="J19" i="9"/>
  <c r="J35" i="9"/>
  <c r="J46" i="9"/>
  <c r="K20" i="9"/>
  <c r="K52" i="9"/>
  <c r="K72" i="9"/>
  <c r="K80" i="9"/>
  <c r="K82" i="9"/>
  <c r="K88" i="9"/>
  <c r="K101" i="9"/>
  <c r="K103" i="9"/>
  <c r="K115" i="9"/>
  <c r="K116" i="9"/>
  <c r="K123" i="9"/>
  <c r="K137" i="9"/>
  <c r="K104" i="9"/>
  <c r="K110" i="9"/>
  <c r="K117" i="9"/>
  <c r="K138" i="9"/>
  <c r="K141" i="9"/>
  <c r="K146" i="9"/>
  <c r="I31" i="9"/>
  <c r="I36" i="9"/>
  <c r="I45" i="9"/>
  <c r="K91" i="9"/>
  <c r="I19" i="9"/>
  <c r="L19" i="9" s="1"/>
  <c r="J31" i="9"/>
  <c r="J36" i="9"/>
  <c r="I57" i="9"/>
  <c r="I147" i="9"/>
  <c r="K143" i="9"/>
  <c r="K102" i="9"/>
  <c r="I18" i="9"/>
  <c r="I58" i="9"/>
  <c r="I33" i="9"/>
  <c r="L33" i="9" s="1"/>
  <c r="I46" i="9"/>
  <c r="K132" i="9"/>
  <c r="K109" i="9"/>
  <c r="K70" i="9"/>
  <c r="J32" i="9"/>
  <c r="I32" i="9"/>
  <c r="J44" i="9"/>
  <c r="I44" i="9"/>
  <c r="L44" i="9" s="1"/>
  <c r="D24" i="9"/>
  <c r="E24" i="9" s="1"/>
  <c r="J21" i="9"/>
  <c r="L21" i="9" s="1"/>
  <c r="J23" i="9"/>
  <c r="J25" i="9"/>
  <c r="J26" i="9"/>
  <c r="K26" i="9" s="1"/>
  <c r="J28" i="9"/>
  <c r="L28" i="9" s="1"/>
  <c r="I22" i="9"/>
  <c r="I27" i="9"/>
  <c r="L27" i="9" s="1"/>
  <c r="J12" i="7"/>
  <c r="J11" i="7"/>
  <c r="J10" i="7"/>
  <c r="J9" i="7"/>
  <c r="L55" i="9" l="1"/>
  <c r="L144" i="9"/>
  <c r="L75" i="9"/>
  <c r="L99" i="9"/>
  <c r="L31" i="9"/>
  <c r="K22" i="9"/>
  <c r="L22" i="9"/>
  <c r="L124" i="9"/>
  <c r="K23" i="9"/>
  <c r="L23" i="9"/>
  <c r="K58" i="9"/>
  <c r="L58" i="9"/>
  <c r="L36" i="9"/>
  <c r="L47" i="9"/>
  <c r="K18" i="9"/>
  <c r="L18" i="9"/>
  <c r="L46" i="9"/>
  <c r="L26" i="9"/>
  <c r="L32" i="9"/>
  <c r="K57" i="9"/>
  <c r="L57" i="9"/>
  <c r="L61" i="9" s="1"/>
  <c r="K45" i="9"/>
  <c r="L45" i="9"/>
  <c r="L35" i="9"/>
  <c r="K147" i="9"/>
  <c r="L147" i="9"/>
  <c r="L148" i="9" s="1"/>
  <c r="K144" i="9"/>
  <c r="K32" i="9"/>
  <c r="K19" i="9"/>
  <c r="K47" i="9"/>
  <c r="K148" i="9"/>
  <c r="K124" i="9"/>
  <c r="K35" i="9"/>
  <c r="K44" i="9"/>
  <c r="K46" i="9"/>
  <c r="K75" i="9"/>
  <c r="K33" i="9"/>
  <c r="K55" i="9"/>
  <c r="K31" i="9"/>
  <c r="K99" i="9"/>
  <c r="K21" i="9"/>
  <c r="K25" i="9"/>
  <c r="K28" i="9"/>
  <c r="K36" i="9"/>
  <c r="K27" i="9"/>
  <c r="I64" i="9"/>
  <c r="J64" i="9"/>
  <c r="K61" i="9"/>
  <c r="I43" i="9"/>
  <c r="J43" i="9"/>
  <c r="J24" i="9"/>
  <c r="I24" i="9"/>
  <c r="L24" i="9" s="1"/>
  <c r="D39" i="7"/>
  <c r="C6" i="10" l="1"/>
  <c r="C3" i="10"/>
  <c r="C12" i="10"/>
  <c r="C11" i="10"/>
  <c r="C14" i="10"/>
  <c r="C9" i="10"/>
  <c r="Y9" i="10" s="1"/>
  <c r="C13" i="10"/>
  <c r="C8" i="10"/>
  <c r="M13" i="10"/>
  <c r="Y13" i="10"/>
  <c r="AA11" i="10"/>
  <c r="M11" i="10"/>
  <c r="U12" i="10"/>
  <c r="O12" i="10"/>
  <c r="L64" i="9"/>
  <c r="E11" i="10"/>
  <c r="I9" i="10"/>
  <c r="Q9" i="10"/>
  <c r="E9" i="10"/>
  <c r="U9" i="10"/>
  <c r="S9" i="10"/>
  <c r="AA9" i="10"/>
  <c r="W9" i="10"/>
  <c r="K9" i="10"/>
  <c r="L49" i="9"/>
  <c r="C7" i="10" s="1"/>
  <c r="O13" i="10"/>
  <c r="U13" i="10"/>
  <c r="L43" i="9"/>
  <c r="Q13" i="10"/>
  <c r="L38" i="9"/>
  <c r="C5" i="10" s="1"/>
  <c r="E13" i="10"/>
  <c r="S13" i="10"/>
  <c r="L29" i="9"/>
  <c r="C4" i="10" s="1"/>
  <c r="AA13" i="10"/>
  <c r="C15" i="10"/>
  <c r="G11" i="10"/>
  <c r="K43" i="9"/>
  <c r="K24" i="9"/>
  <c r="K38" i="9"/>
  <c r="K64" i="9"/>
  <c r="J63" i="9"/>
  <c r="I63" i="9"/>
  <c r="E14" i="10" l="1"/>
  <c r="W14" i="10"/>
  <c r="K14" i="10"/>
  <c r="I14" i="10"/>
  <c r="M14" i="10"/>
  <c r="Y14" i="10"/>
  <c r="Q14" i="10"/>
  <c r="O14" i="10"/>
  <c r="S14" i="10"/>
  <c r="AA14" i="10"/>
  <c r="U14" i="10"/>
  <c r="U11" i="10"/>
  <c r="Q11" i="10"/>
  <c r="Y11" i="10"/>
  <c r="O11" i="10"/>
  <c r="I11" i="10"/>
  <c r="AC11" i="10" s="1"/>
  <c r="K11" i="10"/>
  <c r="S11" i="10"/>
  <c r="Q12" i="10"/>
  <c r="S12" i="10"/>
  <c r="I12" i="10"/>
  <c r="W12" i="10"/>
  <c r="M12" i="10"/>
  <c r="E12" i="10"/>
  <c r="O9" i="10"/>
  <c r="M9" i="10"/>
  <c r="W11" i="10"/>
  <c r="I8" i="10"/>
  <c r="O8" i="10"/>
  <c r="Q8" i="10"/>
  <c r="W8" i="10"/>
  <c r="E8" i="10"/>
  <c r="S8" i="10"/>
  <c r="K8" i="10"/>
  <c r="Y8" i="10"/>
  <c r="U8" i="10"/>
  <c r="M8" i="10"/>
  <c r="AA8" i="10"/>
  <c r="W3" i="10"/>
  <c r="Q3" i="10"/>
  <c r="I3" i="10"/>
  <c r="K3" i="10"/>
  <c r="S3" i="10"/>
  <c r="E3" i="10"/>
  <c r="AA3" i="10"/>
  <c r="G3" i="10"/>
  <c r="O3" i="10"/>
  <c r="U3" i="10"/>
  <c r="M3" i="10"/>
  <c r="Y3" i="10"/>
  <c r="K12" i="10"/>
  <c r="Y12" i="10"/>
  <c r="I13" i="10"/>
  <c r="W13" i="10"/>
  <c r="K13" i="10"/>
  <c r="AA6" i="10"/>
  <c r="M6" i="10"/>
  <c r="E6" i="10"/>
  <c r="K6" i="10"/>
  <c r="Q6" i="10"/>
  <c r="U6" i="10"/>
  <c r="I6" i="10"/>
  <c r="W6" i="10"/>
  <c r="Y6" i="10"/>
  <c r="S6" i="10"/>
  <c r="O6" i="10"/>
  <c r="U7" i="10"/>
  <c r="S7" i="10"/>
  <c r="Q7" i="10"/>
  <c r="I7" i="10"/>
  <c r="E7" i="10"/>
  <c r="W7" i="10"/>
  <c r="AA7" i="10"/>
  <c r="M7" i="10"/>
  <c r="Y7" i="10"/>
  <c r="O7" i="10"/>
  <c r="K7" i="10"/>
  <c r="M5" i="10"/>
  <c r="E5" i="10"/>
  <c r="I5" i="10"/>
  <c r="Q5" i="10"/>
  <c r="Y5" i="10"/>
  <c r="K5" i="10"/>
  <c r="O5" i="10"/>
  <c r="W5" i="10"/>
  <c r="AA5" i="10"/>
  <c r="U5" i="10"/>
  <c r="S5" i="10"/>
  <c r="L63" i="9"/>
  <c r="L65" i="9" s="1"/>
  <c r="M4" i="10"/>
  <c r="I4" i="10"/>
  <c r="K4" i="10"/>
  <c r="O4" i="10"/>
  <c r="Y4" i="10"/>
  <c r="W4" i="10"/>
  <c r="U4" i="10"/>
  <c r="E4" i="10"/>
  <c r="S4" i="10"/>
  <c r="AA4" i="10"/>
  <c r="Q4" i="10"/>
  <c r="S15" i="10"/>
  <c r="Q15" i="10"/>
  <c r="O15" i="10"/>
  <c r="AA15" i="10"/>
  <c r="M15" i="10"/>
  <c r="Y15" i="10"/>
  <c r="K15" i="10"/>
  <c r="I15" i="10"/>
  <c r="W15" i="10"/>
  <c r="U15" i="10"/>
  <c r="G9" i="10"/>
  <c r="AC9" i="10" s="1"/>
  <c r="G6" i="10"/>
  <c r="AC6" i="10" s="1"/>
  <c r="G15" i="10"/>
  <c r="G13" i="10"/>
  <c r="G14" i="10"/>
  <c r="AC14" i="10" s="1"/>
  <c r="G8" i="10"/>
  <c r="AC8" i="10" s="1"/>
  <c r="G12" i="10"/>
  <c r="AC12" i="10" s="1"/>
  <c r="K49" i="9"/>
  <c r="K29" i="9"/>
  <c r="K63" i="9"/>
  <c r="AC3" i="10" l="1"/>
  <c r="AC13" i="10"/>
  <c r="C10" i="10"/>
  <c r="L150" i="9"/>
  <c r="L151" i="9" s="1"/>
  <c r="L152" i="9" s="1"/>
  <c r="G5" i="10"/>
  <c r="AC5" i="10" s="1"/>
  <c r="K65" i="9"/>
  <c r="K150" i="9" s="1"/>
  <c r="M10" i="10" l="1"/>
  <c r="M17" i="10" s="1"/>
  <c r="S10" i="10"/>
  <c r="S17" i="10" s="1"/>
  <c r="I10" i="10"/>
  <c r="K10" i="10"/>
  <c r="K17" i="10" s="1"/>
  <c r="O10" i="10"/>
  <c r="O17" i="10" s="1"/>
  <c r="W10" i="10"/>
  <c r="W17" i="10" s="1"/>
  <c r="E10" i="10"/>
  <c r="U10" i="10"/>
  <c r="U17" i="10" s="1"/>
  <c r="AA10" i="10"/>
  <c r="AA17" i="10" s="1"/>
  <c r="Y10" i="10"/>
  <c r="Y17" i="10" s="1"/>
  <c r="Q10" i="10"/>
  <c r="Q17" i="10" s="1"/>
  <c r="C17" i="10"/>
  <c r="G7" i="10"/>
  <c r="AC7" i="10" s="1"/>
  <c r="G4" i="10"/>
  <c r="Z17" i="10" l="1"/>
  <c r="P17" i="10"/>
  <c r="X17" i="10"/>
  <c r="N17" i="10"/>
  <c r="V17" i="10"/>
  <c r="J17" i="10"/>
  <c r="T17" i="10"/>
  <c r="R17" i="10"/>
  <c r="L17" i="10"/>
  <c r="AC4" i="10"/>
  <c r="K151" i="9"/>
  <c r="K152" i="9" s="1"/>
  <c r="G10" i="10"/>
  <c r="AC10" i="10" s="1"/>
  <c r="G17" i="10" l="1"/>
  <c r="F17" i="10" s="1"/>
  <c r="I17" i="10"/>
  <c r="H17" i="10" s="1"/>
  <c r="E15" i="10"/>
  <c r="E17" i="10" s="1"/>
  <c r="AB15" i="10"/>
  <c r="D17" i="10" l="1"/>
  <c r="AB17" i="10" s="1"/>
  <c r="E18" i="10"/>
  <c r="AC15" i="10"/>
  <c r="AC17" i="10" s="1"/>
  <c r="AC18" i="10" s="1"/>
  <c r="G18" i="10" l="1"/>
  <c r="D18" i="10"/>
  <c r="I18" i="10" l="1"/>
  <c r="F18" i="10"/>
  <c r="H18" i="10" l="1"/>
  <c r="K18" i="10"/>
  <c r="M18" i="10" l="1"/>
  <c r="J18" i="10"/>
  <c r="L18" i="10" l="1"/>
  <c r="O18" i="10"/>
  <c r="Q18" i="10" l="1"/>
  <c r="N18" i="10"/>
  <c r="S18" i="10" l="1"/>
  <c r="P18" i="10"/>
  <c r="R18" i="10" l="1"/>
  <c r="U18" i="10"/>
  <c r="W18" i="10" l="1"/>
  <c r="Y18" i="10" s="1"/>
  <c r="AA18" i="10" s="1"/>
  <c r="T18" i="10"/>
  <c r="V18" i="10" l="1"/>
  <c r="X18" i="10" l="1"/>
  <c r="Z18" i="10"/>
  <c r="AB18" i="10" l="1"/>
</calcChain>
</file>

<file path=xl/sharedStrings.xml><?xml version="1.0" encoding="utf-8"?>
<sst xmlns="http://schemas.openxmlformats.org/spreadsheetml/2006/main" count="590" uniqueCount="430">
  <si>
    <t>Item</t>
  </si>
  <si>
    <t>Descrição</t>
  </si>
  <si>
    <t>Unidade</t>
  </si>
  <si>
    <t>1.1</t>
  </si>
  <si>
    <t>m2</t>
  </si>
  <si>
    <t>m3</t>
  </si>
  <si>
    <t>Planilha Orçamentária</t>
  </si>
  <si>
    <t>kg</t>
  </si>
  <si>
    <t>3</t>
  </si>
  <si>
    <t>3.1</t>
  </si>
  <si>
    <t>3.2</t>
  </si>
  <si>
    <t>3.3</t>
  </si>
  <si>
    <t>4</t>
  </si>
  <si>
    <t>4.1</t>
  </si>
  <si>
    <t>5</t>
  </si>
  <si>
    <t>Cobertura</t>
  </si>
  <si>
    <t>5.1</t>
  </si>
  <si>
    <t>5.2</t>
  </si>
  <si>
    <t xml:space="preserve"> un</t>
  </si>
  <si>
    <t>m</t>
  </si>
  <si>
    <t>6</t>
  </si>
  <si>
    <t>Esquadrias</t>
  </si>
  <si>
    <t>6.1</t>
  </si>
  <si>
    <t>6.2</t>
  </si>
  <si>
    <t>6.3</t>
  </si>
  <si>
    <t>6.4</t>
  </si>
  <si>
    <t>7</t>
  </si>
  <si>
    <t>7.1</t>
  </si>
  <si>
    <t>7.2</t>
  </si>
  <si>
    <t>Pintura</t>
  </si>
  <si>
    <t>8</t>
  </si>
  <si>
    <t>8.1</t>
  </si>
  <si>
    <t>8.2</t>
  </si>
  <si>
    <t>Aparelhos e metais</t>
  </si>
  <si>
    <t>9</t>
  </si>
  <si>
    <t>9.1</t>
  </si>
  <si>
    <t>9.2</t>
  </si>
  <si>
    <t>9.3</t>
  </si>
  <si>
    <t>Instalações elétricas</t>
  </si>
  <si>
    <t>Instalações hidráulicas</t>
  </si>
  <si>
    <t>Instalações sanitárias</t>
  </si>
  <si>
    <t>5.4</t>
  </si>
  <si>
    <t>rolo</t>
  </si>
  <si>
    <t xml:space="preserve">Tubo de PVC marrom de de 25mm </t>
  </si>
  <si>
    <t>3.4</t>
  </si>
  <si>
    <t>Serviços Preliminares</t>
  </si>
  <si>
    <t>Revestimento de Piso e Parede</t>
  </si>
  <si>
    <t>Fundação</t>
  </si>
  <si>
    <t>10.1</t>
  </si>
  <si>
    <t>10.2</t>
  </si>
  <si>
    <t>h</t>
  </si>
  <si>
    <t>Estaca a trado diâmetro 25 cm s/ ferro</t>
  </si>
  <si>
    <t>Preparo de concreto betoneira e transporte manual FCK 20 MPa</t>
  </si>
  <si>
    <t>Lançamento/aplicação/adensamento manual de concreto</t>
  </si>
  <si>
    <t>Aço CA-50 - 8,0mm</t>
  </si>
  <si>
    <t>Aço CA-60 - 4,2mm</t>
  </si>
  <si>
    <t>3.5</t>
  </si>
  <si>
    <t>5.3</t>
  </si>
  <si>
    <t>Passeio de proteção conc. Desemp. e=5cm</t>
  </si>
  <si>
    <t>Paredes (P.V.A.) 3 demãos c/ selador</t>
  </si>
  <si>
    <t>Forro laje prem. c/ capeamento/aço/escora/forma e desforma</t>
  </si>
  <si>
    <t>Locação da obra</t>
  </si>
  <si>
    <t>Alvenaria 1/2 vez em bloco cerâmico 14x29x9</t>
  </si>
  <si>
    <t>Forma tabua e pinhop/fundações U=3V (OBRAS CIVIS)</t>
  </si>
  <si>
    <t xml:space="preserve">Tubo de PVC marrom de de 50mm </t>
  </si>
  <si>
    <t>Registro de pressão c/ canopla cromada diam. 3/4"</t>
  </si>
  <si>
    <t>Joelho red. 90 graus sold. C/ bucha latao 25x1/2"</t>
  </si>
  <si>
    <t>Tê PVC 25 mm 90°</t>
  </si>
  <si>
    <t>Caixa de descarga externa</t>
  </si>
  <si>
    <t>Adap. Pvc sold. Longo c/ flanges liv. p/ cx.d'agua 25x3/4"</t>
  </si>
  <si>
    <t>Adap. Pvc sold. Longo c/ flanges liv. p/ cx.d'agua 50x1.1/2"</t>
  </si>
  <si>
    <t>Caixa de inspeção c/ tampa de concreto e=5cm</t>
  </si>
  <si>
    <t>Sumidouro D:1,60 prof.4,5 m</t>
  </si>
  <si>
    <t>Chapisco comum</t>
  </si>
  <si>
    <t>Dobradiça 3" X 3 1/2" cromada</t>
  </si>
  <si>
    <t>Pintura esmalte c/ anticorrosivo 2 demãos</t>
  </si>
  <si>
    <t>Tanque marmotec/uma cuba e um batedor</t>
  </si>
  <si>
    <t>Lavatório c/ coluna</t>
  </si>
  <si>
    <t>Torneira parede p/ tanque diam. 1/2" e 3/4"</t>
  </si>
  <si>
    <t>Torneira p/ lavatório diam. 1/2"</t>
  </si>
  <si>
    <t>Escavação manual &lt; 1 m</t>
  </si>
  <si>
    <t>Embasamento c/ tijolo comum</t>
  </si>
  <si>
    <t>Apiloado</t>
  </si>
  <si>
    <t>Aterro int. s/ apiloamento c/ transp. em carrinho mão</t>
  </si>
  <si>
    <t>Lançamento/aplicação/adensamento manual de concreto fund.</t>
  </si>
  <si>
    <t>Impermeabilização c/ cimento cristalizante 3 demãos</t>
  </si>
  <si>
    <t>Reboco paulista A-13</t>
  </si>
  <si>
    <t>Rodapé cerâmica c/ arg. colante</t>
  </si>
  <si>
    <t>Piso cerâmica PEI-5 c/ contrapiso (1CI:3ARML) e arg. colante</t>
  </si>
  <si>
    <t>Fech. (alav.) Lafonte 6236 - E/8766-E17 IMAB</t>
  </si>
  <si>
    <t>Ligação flexivel pvc diam. 1/2" (engate)</t>
  </si>
  <si>
    <t>Torneira p/ pia diam. 1/2" e 3/4" - parede</t>
  </si>
  <si>
    <t>Administração</t>
  </si>
  <si>
    <t>Interruptor simples 1 seção</t>
  </si>
  <si>
    <t>Caixa metálica ret. 4" X 2" X 2"</t>
  </si>
  <si>
    <t>Eletroduto PVC flexível - mangueira corrugada - diam. 3/4"</t>
  </si>
  <si>
    <t>Fio isolado pvc 750 V N° 2,5 mm2</t>
  </si>
  <si>
    <t>Fio isolado pvc 750 V N° 4,0 mm2</t>
  </si>
  <si>
    <t>Fita isolante rolo 20 m</t>
  </si>
  <si>
    <t>Joelho 90° soldavel diam. 25 mm</t>
  </si>
  <si>
    <t>Ligação flexível pvc diam. 1/2" (engate)</t>
  </si>
  <si>
    <t>Kit cavalete d=25mm p/ hidro. 1,5-3,0-5,0 m3 murreta/caixa</t>
  </si>
  <si>
    <t>Caixa d'agua polietileno 500L c/ tampa</t>
  </si>
  <si>
    <t>Caixa de gordura 50L impermeabilizada</t>
  </si>
  <si>
    <t>Tubo sold. p/ esgoto PVC 40 mm</t>
  </si>
  <si>
    <t>Tubo sold. p/ esgoto PVC 50 mm</t>
  </si>
  <si>
    <t>Tubo sold. p/ esgoto PVC 100 mm</t>
  </si>
  <si>
    <t>Joelho 90 graus diametro 40mm</t>
  </si>
  <si>
    <t xml:space="preserve">Joelho 90 graus c/ anel 40mm </t>
  </si>
  <si>
    <t>Joelho 90 graus diametro 100mm</t>
  </si>
  <si>
    <t>Sifão flexivel universal (sanfonado)</t>
  </si>
  <si>
    <t>9.4</t>
  </si>
  <si>
    <t>9.6</t>
  </si>
  <si>
    <t>9.7</t>
  </si>
  <si>
    <t>9.8</t>
  </si>
  <si>
    <t>10.3</t>
  </si>
  <si>
    <t>11</t>
  </si>
  <si>
    <t>11.1</t>
  </si>
  <si>
    <t>11.2</t>
  </si>
  <si>
    <t>Porta abrir/veneziana PF-4 com ferragens</t>
  </si>
  <si>
    <t>Revestimento com cerâmica</t>
  </si>
  <si>
    <t>Quadro de distribuição de embutir PVC CB 12E - 80A</t>
  </si>
  <si>
    <t>Fossa séptica 2500 litros com impermeabilização</t>
  </si>
  <si>
    <t>CUSTO TOTAL (SEM BDI):</t>
  </si>
  <si>
    <t>VALOR TOTAL (COM BDI):</t>
  </si>
  <si>
    <t>Sub total:</t>
  </si>
  <si>
    <t>2.2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</si>
  <si>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</si>
  <si>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</si>
  <si>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</si>
  <si>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</si>
  <si>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</si>
  <si>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</si>
  <si>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</si>
  <si>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</si>
  <si>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</si>
  <si>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</si>
  <si>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1) DESPESAS FINANCEIRAS - ( 0,00% a 1,2%)</t>
  </si>
  <si>
    <t xml:space="preserve">Riscos, administ. Central, administ., Garantia </t>
  </si>
  <si>
    <t>2) RISCOS  -  ( 0,00% A 2,05%)</t>
  </si>
  <si>
    <t>Despesas financeiras</t>
  </si>
  <si>
    <t>Bonificação/lucro</t>
  </si>
  <si>
    <t>COFIS/PIS/ISS/CPMF</t>
  </si>
  <si>
    <t>3) TAXA DE ADMINISTRAÇÃO - ESCRITÓRIO CENTRAL - ( 0,11% a 8,03%)</t>
  </si>
  <si>
    <t>4) BONIFICAÇÃO / LUCRO  - ( 3,83% a 9,96%)</t>
  </si>
  <si>
    <t>5) GARANTIA - ( 0,00% a 0,42%)</t>
  </si>
  <si>
    <t>7) Impostos - tais itens podem variar, mas principalmente o ISS, que pode ser isento,</t>
  </si>
  <si>
    <t>ou variar até 5%, porem deduzindo-se o valor dos materiais aplicados o que corresponde em torno de 2 a 3 %.</t>
  </si>
  <si>
    <t xml:space="preserve">   Intervalo total admissível (6,03% a 9,03%)</t>
  </si>
  <si>
    <t>COFINS=</t>
  </si>
  <si>
    <t>PIS=</t>
  </si>
  <si>
    <t>ISS=</t>
  </si>
  <si>
    <t>CPMF=</t>
  </si>
  <si>
    <t>BDI =</t>
  </si>
  <si>
    <t>Conforme o Acórdão 2622/2013 – TCU – Plenário</t>
  </si>
  <si>
    <t>2</t>
  </si>
  <si>
    <t>Composição de BDI (Bonificações e Despesas Indiretas)</t>
  </si>
  <si>
    <t>Engenheiro (referente a uma unidade)</t>
  </si>
  <si>
    <t>Encarregado (referente a uma unidade)</t>
  </si>
  <si>
    <t>Vaso sanitário</t>
  </si>
  <si>
    <t>10</t>
  </si>
  <si>
    <t>10.4</t>
  </si>
  <si>
    <t>10.6</t>
  </si>
  <si>
    <t>10.7</t>
  </si>
  <si>
    <t>10.8</t>
  </si>
  <si>
    <t>10.9</t>
  </si>
  <si>
    <t>10.10</t>
  </si>
  <si>
    <t>10.12</t>
  </si>
  <si>
    <t>10.13</t>
  </si>
  <si>
    <t>10.14</t>
  </si>
  <si>
    <t>10.15</t>
  </si>
  <si>
    <t>10.16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</si>
  <si>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</si>
  <si>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</si>
  <si>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</si>
  <si>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</si>
  <si>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</si>
  <si>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</si>
  <si>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</si>
  <si>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</si>
  <si>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</si>
  <si>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</si>
  <si>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12</t>
  </si>
  <si>
    <t>12.1</t>
  </si>
  <si>
    <t>12.2</t>
  </si>
  <si>
    <t>Quant.       01 Casa</t>
  </si>
  <si>
    <t>CustoTotal        01 Casa</t>
  </si>
  <si>
    <t>Custo Unitário Material</t>
  </si>
  <si>
    <t>Custo Unitário Mão de Obra</t>
  </si>
  <si>
    <t>CustoTotal     Mão de Obra       01 Casa</t>
  </si>
  <si>
    <t>Total</t>
  </si>
  <si>
    <t>%</t>
  </si>
  <si>
    <t>Valor</t>
  </si>
  <si>
    <t>1</t>
  </si>
  <si>
    <t>1.2</t>
  </si>
  <si>
    <t>Mês 01</t>
  </si>
  <si>
    <t>Mês 02</t>
  </si>
  <si>
    <t>Mês 03</t>
  </si>
  <si>
    <t>Placa de obra plotada em chapa metálica 26, afixada em cavaletes de madeira de lei (vigotas 6x12cm) - Padrão GOINFRA - Tamanho 80x60cm (previsto uma placa para cada unidade habitacional)</t>
  </si>
  <si>
    <t>CustoTotal Material              01 Casa</t>
  </si>
  <si>
    <t>Disjuntor monopolar de 10 a 32-A</t>
  </si>
  <si>
    <t>Padrao monofasico, 10 mm2 h=7 metros</t>
  </si>
  <si>
    <t>Tomada hexagonal 2p + t - 10a - 250v (linha x ou equivalente)</t>
  </si>
  <si>
    <t>Interruptor simples 1 seção e 1 tomada hexagonal 2p + t - 10a conjugados</t>
  </si>
  <si>
    <t>Caixa Met. Hexagonal (Sextavada 3"x3")</t>
  </si>
  <si>
    <t>Fio isolado pvc 750 V N° 10,0 mm2</t>
  </si>
  <si>
    <t>Isolador roldana porcelana 72 x 72</t>
  </si>
  <si>
    <t>Isolador roldana pvc pequeno (101)</t>
  </si>
  <si>
    <t>un</t>
  </si>
  <si>
    <t xml:space="preserve">Código </t>
  </si>
  <si>
    <t>080651 GOINFRA</t>
  </si>
  <si>
    <t>080801 GOINFRA</t>
  </si>
  <si>
    <t>080541 GOINFRA</t>
  </si>
  <si>
    <t>080502 GOINFRA</t>
  </si>
  <si>
    <t>080556 GOINFRA</t>
  </si>
  <si>
    <t>080660 GOINFRA</t>
  </si>
  <si>
    <t>080810 GOINFRA</t>
  </si>
  <si>
    <t>080570 GOINFRA</t>
  </si>
  <si>
    <t>071805 GOINFRA</t>
  </si>
  <si>
    <t>072170 GOINFRA</t>
  </si>
  <si>
    <t>071171 GOINFRA</t>
  </si>
  <si>
    <t>072570 GOINFRA</t>
  </si>
  <si>
    <t>072575 GOINFRA</t>
  </si>
  <si>
    <t>071440 GOINFRA</t>
  </si>
  <si>
    <t>070680 GOINFRA</t>
  </si>
  <si>
    <t>070691 GOINFRA</t>
  </si>
  <si>
    <t>071194 GOINFRA</t>
  </si>
  <si>
    <t>071291 GOINFRA</t>
  </si>
  <si>
    <t>071294 GOINFRA</t>
  </si>
  <si>
    <t>071480 GOINFRA</t>
  </si>
  <si>
    <t>071331 GOINFRA</t>
  </si>
  <si>
    <t>081003 GOINFRA</t>
  </si>
  <si>
    <t>081006 GOINFRA</t>
  </si>
  <si>
    <t>081360 GOINFRA</t>
  </si>
  <si>
    <t>081321 GOINFRA</t>
  </si>
  <si>
    <t>080946 GOINFRA</t>
  </si>
  <si>
    <t>080511 GOINFRA</t>
  </si>
  <si>
    <t>080721 GOINFRA</t>
  </si>
  <si>
    <t>081815 GOINFRA</t>
  </si>
  <si>
    <t>081860 GOINFRA</t>
  </si>
  <si>
    <t>082301 GOINFRA</t>
  </si>
  <si>
    <t>082302 GOINFRA</t>
  </si>
  <si>
    <t>081661 GOINFRA</t>
  </si>
  <si>
    <t>081866 GOINFRA</t>
  </si>
  <si>
    <t>081874 GOINFRA</t>
  </si>
  <si>
    <t>250101 GOINFRA</t>
  </si>
  <si>
    <t>250103 GOINFRA</t>
  </si>
  <si>
    <t>1.3</t>
  </si>
  <si>
    <t>1.4</t>
  </si>
  <si>
    <t>021301 GOINFRA</t>
  </si>
  <si>
    <t>020701 GOINFRA</t>
  </si>
  <si>
    <t>Reaterro com apiloamento</t>
  </si>
  <si>
    <t>040902 GOINFRA</t>
  </si>
  <si>
    <t>041012 GOINFRA</t>
  </si>
  <si>
    <t>Indenização de jazida</t>
  </si>
  <si>
    <t>041006 GOINFRA</t>
  </si>
  <si>
    <t>Transporte de material escavado m3.km</t>
  </si>
  <si>
    <t>m3.Km</t>
  </si>
  <si>
    <t xml:space="preserve"> 041140 GOINFRA</t>
  </si>
  <si>
    <t>Regularização do terreno sem apiloamento com transporte manual da terra escavada</t>
  </si>
  <si>
    <t>040101 GOINFRA</t>
  </si>
  <si>
    <t>050201 GOINFRA</t>
  </si>
  <si>
    <t>041002 GOINFRA</t>
  </si>
  <si>
    <t>041003 GOINFRA</t>
  </si>
  <si>
    <t>050301 GOINFRA</t>
  </si>
  <si>
    <t>051017 GOINFRA</t>
  </si>
  <si>
    <t>051026 GOINFRA</t>
  </si>
  <si>
    <t>052004 GOINFRA</t>
  </si>
  <si>
    <t>052012 GOINFRA</t>
  </si>
  <si>
    <t>120209 GOINFRA</t>
  </si>
  <si>
    <t>051009 GOINFRA</t>
  </si>
  <si>
    <t>100160 GOINFRA</t>
  </si>
  <si>
    <t>060507 GOINFRA</t>
  </si>
  <si>
    <t>060801 GOINFRA</t>
  </si>
  <si>
    <t>060312 GOINFRA</t>
  </si>
  <si>
    <t>060202 GOINFRA</t>
  </si>
  <si>
    <t>061101 GOINFRA</t>
  </si>
  <si>
    <t>200101 GOINFRA</t>
  </si>
  <si>
    <t>200504 GOINFRA</t>
  </si>
  <si>
    <t>220310 GOINFRA</t>
  </si>
  <si>
    <t>201302 GOINFRA</t>
  </si>
  <si>
    <t>220100 GOINFRA</t>
  </si>
  <si>
    <t>220309 GOINFRA</t>
  </si>
  <si>
    <t>180504 GOINFRA</t>
  </si>
  <si>
    <t>180402 GOINFRA</t>
  </si>
  <si>
    <t>230101 GOINFRA</t>
  </si>
  <si>
    <t>230202 GOINFRA</t>
  </si>
  <si>
    <t>261303 GOINFRA</t>
  </si>
  <si>
    <t>261602 GOINFRA</t>
  </si>
  <si>
    <t>Tomada hexagonal 2p + t - 20a - 250v (linha x ou equivalente)</t>
  </si>
  <si>
    <t>5.5</t>
  </si>
  <si>
    <t>5.6</t>
  </si>
  <si>
    <t>7.3</t>
  </si>
  <si>
    <t>7.4</t>
  </si>
  <si>
    <t>10.17</t>
  </si>
  <si>
    <t>10.18</t>
  </si>
  <si>
    <t>10.19</t>
  </si>
  <si>
    <t>10.20</t>
  </si>
  <si>
    <t>11.13</t>
  </si>
  <si>
    <t>11.14</t>
  </si>
  <si>
    <t>11.15</t>
  </si>
  <si>
    <t>11.16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</si>
  <si>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</si>
  <si>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</si>
  <si>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</si>
  <si>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</si>
  <si>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</si>
  <si>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</si>
  <si>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</si>
  <si>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</si>
  <si>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</si>
  <si>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</si>
  <si>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13</t>
  </si>
  <si>
    <t>13.1</t>
  </si>
  <si>
    <t>13.2</t>
  </si>
  <si>
    <t>Pia marmotec/granito sintético 1,2x0,54 m</t>
  </si>
  <si>
    <t>071490 GOINFRA</t>
  </si>
  <si>
    <t>Chuveiro Elétrico em PVC com braço metálico</t>
  </si>
  <si>
    <t xml:space="preserve">071443 GOINFRA </t>
  </si>
  <si>
    <t>071292 GOINFRA</t>
  </si>
  <si>
    <t>11.17</t>
  </si>
  <si>
    <t>081043 GOINFRA</t>
  </si>
  <si>
    <t>081041 GOINFRA</t>
  </si>
  <si>
    <t>081889 GOINFRA</t>
  </si>
  <si>
    <t>Torneira boia diametro 1" (25 mm )</t>
  </si>
  <si>
    <t>081179 GOINFRA</t>
  </si>
  <si>
    <t>Bucha de reducao soldavel longa 50 x 25 mm</t>
  </si>
  <si>
    <t>11.18</t>
  </si>
  <si>
    <t>081424 GOINFRA</t>
  </si>
  <si>
    <t>Te reducao 90 graus soldavel 50 x 25 mm</t>
  </si>
  <si>
    <t>080977 GOINFRA</t>
  </si>
  <si>
    <t>Registro de esfera 1"</t>
  </si>
  <si>
    <t>070231 GOINFRA</t>
  </si>
  <si>
    <t>Armacao secundaria leve 2 elementos</t>
  </si>
  <si>
    <t>10.5</t>
  </si>
  <si>
    <t>10.11</t>
  </si>
  <si>
    <t>081402 GOINFRA</t>
  </si>
  <si>
    <t>11.19</t>
  </si>
  <si>
    <t>11.20</t>
  </si>
  <si>
    <t>081131 GOINFRA</t>
  </si>
  <si>
    <t>Luva soldavel c/rosca diametro 25 x 3/4"</t>
  </si>
  <si>
    <t>11.21</t>
  </si>
  <si>
    <t>080926 GOINFRA</t>
  </si>
  <si>
    <t>Registro de gaveta c/canopla diametro 3/4"</t>
  </si>
  <si>
    <t>080902 GOINFRA</t>
  </si>
  <si>
    <t>Registro de gaveta bruto diametro 3/4"</t>
  </si>
  <si>
    <t>080980 GOINFRA</t>
  </si>
  <si>
    <t>Registro de esfera diametro 2"</t>
  </si>
  <si>
    <t>Registro de esfera diametro 1"</t>
  </si>
  <si>
    <t>11.22</t>
  </si>
  <si>
    <t>11.23</t>
  </si>
  <si>
    <t>081102 GOINFRA</t>
  </si>
  <si>
    <t>Luva soldavel diametro 25 mm</t>
  </si>
  <si>
    <t>081927 GOINFRA</t>
  </si>
  <si>
    <t>082304 GOINFRA</t>
  </si>
  <si>
    <t>081935 GOINFRA</t>
  </si>
  <si>
    <t>081938 GOINFRA</t>
  </si>
  <si>
    <t>080562 GOINFRA</t>
  </si>
  <si>
    <t>081829 GOINFRA</t>
  </si>
  <si>
    <t>081850 GOINFRA</t>
  </si>
  <si>
    <t>Joelho 90 graus c/anel 40 mm</t>
  </si>
  <si>
    <t>12.13</t>
  </si>
  <si>
    <t>081701 GOINFRA</t>
  </si>
  <si>
    <t xml:space="preserve">Curva 45 graus diametro 40 mm </t>
  </si>
  <si>
    <t>Corpo cx. sifonada diam. 100mmx100mmx50mm</t>
  </si>
  <si>
    <t>081973 GOINFRA</t>
  </si>
  <si>
    <t>Juncao simples diam. 100 x 50 mm</t>
  </si>
  <si>
    <t>12.14</t>
  </si>
  <si>
    <t>12.15</t>
  </si>
  <si>
    <t>081550 GOINFRA</t>
  </si>
  <si>
    <t>Curva 45º diametro 50 mm</t>
  </si>
  <si>
    <t>12.16</t>
  </si>
  <si>
    <t>082102 GOINFRA</t>
  </si>
  <si>
    <t>Reducao excentrica 100 x 75 mm</t>
  </si>
  <si>
    <t>12.17</t>
  </si>
  <si>
    <t>081928 GOINFRA</t>
  </si>
  <si>
    <t>Joelho 90 graus c/anel 50 mm</t>
  </si>
  <si>
    <t>12.18</t>
  </si>
  <si>
    <t>060304 GOINFRA</t>
  </si>
  <si>
    <t>1.5</t>
  </si>
  <si>
    <t>1.6</t>
  </si>
  <si>
    <t>3.6</t>
  </si>
  <si>
    <t>Aço CA-50 - 8,0mm (cintas, vigas, pilares e vergas)</t>
  </si>
  <si>
    <t>Estrutura (cintas, vigas, pilares e vergas)</t>
  </si>
  <si>
    <t>Aço CA-60 - 4,2mm (cintas, vigas, pilares e vergas)</t>
  </si>
  <si>
    <t>Forma tabua c/ reapr. duas vezes (cintas, vigas, pilares e vergas)</t>
  </si>
  <si>
    <t>Prep. conc. c/ bet. e trans. m. fck 20 MPa (cintas, vigas, pilares e vergas)</t>
  </si>
  <si>
    <t>Alvenaria</t>
  </si>
  <si>
    <t>071538 GOINFRA</t>
  </si>
  <si>
    <t>Lâmpada de bulbo LED, base E27, bivolt 12/15W, 1000 A 1400 lumens, Luz branca</t>
  </si>
  <si>
    <t>Luminaria led plafon redondo de sobrepor bivolt 12/13 w, d = *17* cm</t>
  </si>
  <si>
    <t>39385 SINAPI</t>
  </si>
  <si>
    <t>Janela veneziana chapa/vidro c/ ferragens - (4 janelas de 120x100cm e 01 janela de 40x40cm)</t>
  </si>
  <si>
    <t>160501 GOINFRA</t>
  </si>
  <si>
    <t xml:space="preserve">Cobertura com telha ondulada de fibrocimento </t>
  </si>
  <si>
    <t>071172 GOINFRA</t>
  </si>
  <si>
    <t>Disjuntor monopolar de 35 a 50A.</t>
  </si>
  <si>
    <t>Fio isolado pvc 750 V N° 1,5 mm2</t>
  </si>
  <si>
    <t>160601 GOINFRA</t>
  </si>
  <si>
    <t>Calha de chapa galvanizada 60 cm (nº 26)</t>
  </si>
  <si>
    <t>160602 GOINFRA</t>
  </si>
  <si>
    <t>Rufo de chapa galvanizada 40 cm (nº 26)</t>
  </si>
  <si>
    <t>140200 GOINFRA</t>
  </si>
  <si>
    <t xml:space="preserve"> Estrutura de madeira para telha fibrocimento com apoios em lajes, vigas ou paredes (somente terças) cm ferragens</t>
  </si>
  <si>
    <t>9.5</t>
  </si>
  <si>
    <t>10.21</t>
  </si>
  <si>
    <t>10.22</t>
  </si>
  <si>
    <t>071290 GOINFRA</t>
  </si>
  <si>
    <t>Construção de Unidade habitacional de 45,54m2 - 2 Dormitórios</t>
  </si>
  <si>
    <t>TABELA DE CUSTOS DE OBRAS CIVIS - T213 - JULHO/2023 - SEM DESONERAÇÃO - DATA BASE: 01/07/2023</t>
  </si>
  <si>
    <t>SINAPI - PCI. 818.01 - CUSTO DE COMPOSIÇÕES - ANALÍTICO - DATA DE REFERÊNCIA TÉCNICA: 16/10/2023</t>
  </si>
  <si>
    <t>060305 GOINFRA</t>
  </si>
  <si>
    <t>Aço CA-50 - 10,0mm (cintas, vigas, pilares e vergas)</t>
  </si>
  <si>
    <t>3.7</t>
  </si>
  <si>
    <t>BDI = 23,55%</t>
  </si>
  <si>
    <t>VALOR TOTAL COM BDI = 23,55%:</t>
  </si>
  <si>
    <t>VALOR TOTAL ACUMULADO COM BDI = 23,55%:</t>
  </si>
  <si>
    <t>Quant.       30 Casas</t>
  </si>
  <si>
    <t>CustoTotal 30 Casas</t>
  </si>
  <si>
    <t>30 Unidades habitacionais de 45,54m2 - 2 Dormitórios</t>
  </si>
  <si>
    <t>Preço Total            (30 Unidades)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</si>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</sst>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_(* #,##0.00_);_(* \(#,##0.00\);_(* &quot;-&quot;??_);_(@_)"/>
    <numFmt numFmtId="167" formatCode="_(* #,##0.000_);_(* \(#,##0.0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color theme="1"/>
      <name val="Arial"/>
      <family val="2"/>
    </font>
    <font>
      <b/>
      <sz val="10"/>
      <color theme="1"/>
      <name val="Lucida Sans"/>
      <family val="2"/>
    </font>
    <font>
      <sz val="8"/>
      <color theme="1"/>
      <name val="Lucida San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Lucida Sans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Arial"/>
      <family val="2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165" fontId="4" fillId="0" borderId="0" applyBorder="0" applyProtection="0"/>
    <xf numFmtId="0" fontId="2" fillId="0" borderId="0"/>
    <xf numFmtId="0" fontId="10" fillId="0" borderId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40">
    <xf numFmtId="0" fontId="0" fillId="0" borderId="0" xfId="0"/>
    <xf numFmtId="0" fontId="10" fillId="0" borderId="0" xfId="5"/>
    <xf numFmtId="0" fontId="13" fillId="0" borderId="0" xfId="5" applyFont="1"/>
    <xf numFmtId="0" fontId="13" fillId="0" borderId="5" xfId="5" applyFont="1" applyBorder="1"/>
    <xf numFmtId="0" fontId="13" fillId="0" borderId="6" xfId="5" applyFont="1" applyBorder="1"/>
    <xf numFmtId="0" fontId="10" fillId="0" borderId="5" xfId="5" applyBorder="1"/>
    <xf numFmtId="0" fontId="10" fillId="0" borderId="6" xfId="5" applyBorder="1"/>
    <xf numFmtId="10" fontId="10" fillId="0" borderId="7" xfId="6" applyNumberFormat="1" applyFont="1" applyBorder="1"/>
    <xf numFmtId="0" fontId="14" fillId="0" borderId="8" xfId="5" applyFont="1" applyBorder="1"/>
    <xf numFmtId="167" fontId="15" fillId="0" borderId="1" xfId="7" applyNumberFormat="1" applyFont="1" applyBorder="1"/>
    <xf numFmtId="0" fontId="14" fillId="0" borderId="9" xfId="5" applyFont="1" applyBorder="1"/>
    <xf numFmtId="0" fontId="14" fillId="0" borderId="10" xfId="5" applyFont="1" applyBorder="1"/>
    <xf numFmtId="10" fontId="10" fillId="0" borderId="0" xfId="6" applyNumberFormat="1" applyFont="1" applyBorder="1"/>
    <xf numFmtId="0" fontId="10" fillId="0" borderId="0" xfId="5" applyAlignment="1">
      <alignment horizontal="center"/>
    </xf>
    <xf numFmtId="0" fontId="16" fillId="0" borderId="11" xfId="5" applyFont="1" applyBorder="1" applyAlignment="1">
      <alignment vertical="center"/>
    </xf>
    <xf numFmtId="0" fontId="10" fillId="0" borderId="12" xfId="5" applyBorder="1" applyAlignment="1">
      <alignment vertical="center"/>
    </xf>
    <xf numFmtId="10" fontId="16" fillId="0" borderId="13" xfId="6" applyNumberFormat="1" applyFont="1" applyBorder="1" applyAlignment="1">
      <alignment horizontal="center" vertical="center"/>
    </xf>
    <xf numFmtId="0" fontId="7" fillId="0" borderId="0" xfId="4" applyFont="1" applyAlignment="1">
      <alignment vertical="center"/>
    </xf>
    <xf numFmtId="10" fontId="7" fillId="0" borderId="0" xfId="4" applyNumberFormat="1" applyFont="1" applyAlignment="1">
      <alignment vertical="center"/>
    </xf>
    <xf numFmtId="0" fontId="10" fillId="0" borderId="14" xfId="5" applyBorder="1"/>
    <xf numFmtId="0" fontId="10" fillId="0" borderId="15" xfId="5" applyBorder="1"/>
    <xf numFmtId="0" fontId="10" fillId="0" borderId="16" xfId="5" applyBorder="1"/>
    <xf numFmtId="0" fontId="13" fillId="0" borderId="0" xfId="5" applyFont="1" applyAlignment="1">
      <alignment horizontal="center"/>
    </xf>
    <xf numFmtId="0" fontId="6" fillId="0" borderId="0" xfId="0" applyFont="1" applyAlignment="1">
      <alignment horizontal="center" vertical="top"/>
    </xf>
    <xf numFmtId="0" fontId="11" fillId="0" borderId="5" xfId="4" applyFont="1" applyBorder="1" applyAlignment="1">
      <alignment horizontal="left" vertical="top"/>
    </xf>
    <xf numFmtId="0" fontId="9" fillId="0" borderId="0" xfId="4" applyFont="1" applyAlignment="1">
      <alignment vertical="center" wrapText="1"/>
    </xf>
    <xf numFmtId="0" fontId="11" fillId="0" borderId="0" xfId="4" applyFont="1" applyAlignment="1">
      <alignment horizontal="left" vertical="center"/>
    </xf>
    <xf numFmtId="0" fontId="9" fillId="0" borderId="6" xfId="4" applyFont="1" applyBorder="1" applyAlignment="1">
      <alignment vertical="center" wrapText="1"/>
    </xf>
    <xf numFmtId="0" fontId="11" fillId="0" borderId="5" xfId="4" applyFont="1" applyBorder="1" applyAlignment="1">
      <alignment horizontal="left" vertical="center"/>
    </xf>
    <xf numFmtId="0" fontId="12" fillId="0" borderId="0" xfId="4" applyFont="1" applyAlignment="1">
      <alignment vertical="center" wrapText="1"/>
    </xf>
    <xf numFmtId="0" fontId="8" fillId="0" borderId="0" xfId="4" applyFont="1" applyAlignment="1">
      <alignment vertical="center" wrapText="1"/>
    </xf>
    <xf numFmtId="0" fontId="8" fillId="0" borderId="6" xfId="4" applyFont="1" applyBorder="1" applyAlignment="1">
      <alignment vertical="center" wrapText="1"/>
    </xf>
    <xf numFmtId="164" fontId="6" fillId="3" borderId="0" xfId="1" applyFont="1" applyFill="1" applyAlignment="1">
      <alignment horizontal="right" vertical="top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center" vertical="top"/>
    </xf>
    <xf numFmtId="164" fontId="5" fillId="0" borderId="1" xfId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top"/>
    </xf>
    <xf numFmtId="164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164" fontId="6" fillId="0" borderId="1" xfId="1" applyFont="1" applyBorder="1" applyAlignment="1">
      <alignment horizontal="right" vertical="top"/>
    </xf>
    <xf numFmtId="164" fontId="5" fillId="0" borderId="1" xfId="1" applyFont="1" applyBorder="1" applyAlignment="1">
      <alignment horizontal="center" vertical="top"/>
    </xf>
    <xf numFmtId="164" fontId="5" fillId="0" borderId="0" xfId="1" applyFont="1" applyAlignment="1">
      <alignment horizontal="center" vertical="top"/>
    </xf>
    <xf numFmtId="164" fontId="5" fillId="2" borderId="1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" fontId="5" fillId="0" borderId="1" xfId="0" applyNumberFormat="1" applyFont="1" applyBorder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164" fontId="5" fillId="0" borderId="0" xfId="1" applyFont="1" applyAlignment="1">
      <alignment vertical="top"/>
    </xf>
    <xf numFmtId="49" fontId="5" fillId="2" borderId="0" xfId="0" applyNumberFormat="1" applyFont="1" applyFill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164" fontId="6" fillId="0" borderId="0" xfId="1" applyFont="1" applyAlignment="1">
      <alignment vertical="top"/>
    </xf>
    <xf numFmtId="164" fontId="6" fillId="0" borderId="0" xfId="1" applyFont="1" applyAlignment="1">
      <alignment horizontal="right" vertical="top"/>
    </xf>
    <xf numFmtId="164" fontId="6" fillId="0" borderId="0" xfId="1" applyFont="1" applyAlignment="1">
      <alignment horizontal="center" vertical="top"/>
    </xf>
    <xf numFmtId="164" fontId="5" fillId="3" borderId="0" xfId="1" applyFont="1" applyFill="1" applyAlignment="1">
      <alignment horizontal="right" vertical="top"/>
    </xf>
    <xf numFmtId="4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164" fontId="5" fillId="3" borderId="1" xfId="1" applyFont="1" applyFill="1" applyBorder="1" applyAlignment="1">
      <alignment horizontal="right" vertical="top"/>
    </xf>
    <xf numFmtId="0" fontId="13" fillId="0" borderId="0" xfId="0" applyFont="1" applyAlignment="1">
      <alignment vertical="top"/>
    </xf>
    <xf numFmtId="164" fontId="13" fillId="0" borderId="0" xfId="1" applyFont="1" applyAlignment="1">
      <alignment vertical="top"/>
    </xf>
    <xf numFmtId="0" fontId="19" fillId="0" borderId="0" xfId="0" applyFont="1" applyAlignment="1">
      <alignment vertical="top"/>
    </xf>
    <xf numFmtId="43" fontId="5" fillId="0" borderId="0" xfId="0" applyNumberFormat="1" applyFont="1" applyAlignment="1">
      <alignment horizontal="center" vertical="top"/>
    </xf>
    <xf numFmtId="49" fontId="21" fillId="0" borderId="0" xfId="0" applyNumberFormat="1" applyFont="1" applyAlignment="1">
      <alignment horizontal="center" vertical="top" wrapText="1"/>
    </xf>
    <xf numFmtId="49" fontId="21" fillId="2" borderId="1" xfId="0" applyNumberFormat="1" applyFont="1" applyFill="1" applyBorder="1" applyAlignment="1">
      <alignment horizontal="center" vertical="top" wrapText="1"/>
    </xf>
    <xf numFmtId="49" fontId="21" fillId="0" borderId="0" xfId="0" applyNumberFormat="1" applyFont="1" applyAlignment="1">
      <alignment horizontal="center" vertical="top"/>
    </xf>
    <xf numFmtId="0" fontId="21" fillId="0" borderId="1" xfId="0" applyFont="1" applyBorder="1" applyAlignment="1">
      <alignment horizontal="justify" vertical="top" wrapText="1"/>
    </xf>
    <xf numFmtId="164" fontId="21" fillId="0" borderId="1" xfId="1" applyFont="1" applyFill="1" applyBorder="1" applyAlignment="1">
      <alignment horizontal="right" vertical="top"/>
    </xf>
    <xf numFmtId="10" fontId="21" fillId="0" borderId="1" xfId="11" applyNumberFormat="1" applyFont="1" applyFill="1" applyBorder="1" applyAlignment="1">
      <alignment horizontal="right"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justify" vertical="top" wrapText="1"/>
    </xf>
    <xf numFmtId="164" fontId="21" fillId="0" borderId="1" xfId="1" applyFont="1" applyBorder="1" applyAlignment="1">
      <alignment horizontal="center" vertical="top"/>
    </xf>
    <xf numFmtId="164" fontId="21" fillId="0" borderId="1" xfId="1" applyFont="1" applyBorder="1" applyAlignment="1">
      <alignment horizontal="right" vertical="top"/>
    </xf>
    <xf numFmtId="10" fontId="21" fillId="0" borderId="1" xfId="11" applyNumberFormat="1" applyFont="1" applyBorder="1" applyAlignment="1">
      <alignment horizontal="right" vertical="top"/>
    </xf>
    <xf numFmtId="0" fontId="22" fillId="0" borderId="0" xfId="0" applyFont="1" applyAlignment="1">
      <alignment vertical="top"/>
    </xf>
    <xf numFmtId="164" fontId="21" fillId="0" borderId="0" xfId="1" applyFont="1" applyAlignment="1">
      <alignment vertical="top"/>
    </xf>
    <xf numFmtId="0" fontId="23" fillId="0" borderId="0" xfId="5" applyFont="1"/>
    <xf numFmtId="43" fontId="5" fillId="0" borderId="0" xfId="0" applyNumberFormat="1" applyFont="1" applyAlignment="1">
      <alignment vertical="top"/>
    </xf>
    <xf numFmtId="49" fontId="24" fillId="0" borderId="1" xfId="0" applyNumberFormat="1" applyFont="1" applyBorder="1" applyAlignment="1">
      <alignment horizontal="center" vertical="top"/>
    </xf>
    <xf numFmtId="0" fontId="24" fillId="0" borderId="1" xfId="0" applyFont="1" applyBorder="1" applyAlignment="1">
      <alignment horizontal="left" vertical="top" wrapText="1"/>
    </xf>
    <xf numFmtId="4" fontId="24" fillId="0" borderId="1" xfId="0" applyNumberFormat="1" applyFont="1" applyBorder="1" applyAlignment="1">
      <alignment horizontal="center" vertical="top"/>
    </xf>
    <xf numFmtId="164" fontId="24" fillId="0" borderId="1" xfId="1" applyFont="1" applyBorder="1" applyAlignment="1">
      <alignment horizontal="center" vertical="top"/>
    </xf>
    <xf numFmtId="164" fontId="24" fillId="3" borderId="1" xfId="1" applyFont="1" applyFill="1" applyBorder="1" applyAlignment="1">
      <alignment horizontal="right" vertical="top"/>
    </xf>
    <xf numFmtId="164" fontId="24" fillId="0" borderId="1" xfId="1" applyFont="1" applyBorder="1" applyAlignment="1">
      <alignment horizontal="right" vertical="top"/>
    </xf>
    <xf numFmtId="0" fontId="24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164" fontId="5" fillId="0" borderId="1" xfId="1" applyFont="1" applyFill="1" applyBorder="1" applyAlignment="1">
      <alignment horizontal="center" vertical="top"/>
    </xf>
    <xf numFmtId="164" fontId="5" fillId="0" borderId="1" xfId="1" applyFont="1" applyFill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0" fontId="5" fillId="4" borderId="0" xfId="0" applyFont="1" applyFill="1" applyAlignment="1">
      <alignment vertical="top"/>
    </xf>
    <xf numFmtId="4" fontId="5" fillId="0" borderId="1" xfId="0" quotePrefix="1" applyNumberFormat="1" applyFont="1" applyBorder="1" applyAlignment="1">
      <alignment horizontal="center" vertical="top"/>
    </xf>
    <xf numFmtId="164" fontId="5" fillId="0" borderId="0" xfId="1" applyFont="1" applyFill="1" applyAlignment="1">
      <alignment horizontal="center" vertical="top"/>
    </xf>
    <xf numFmtId="164" fontId="5" fillId="0" borderId="0" xfId="1" applyFont="1" applyFill="1" applyAlignment="1">
      <alignment horizontal="right" vertical="top"/>
    </xf>
    <xf numFmtId="43" fontId="6" fillId="0" borderId="0" xfId="0" applyNumberFormat="1" applyFont="1" applyAlignment="1">
      <alignment vertical="top"/>
    </xf>
    <xf numFmtId="10" fontId="22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9" fontId="24" fillId="0" borderId="1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49" fontId="6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center" vertical="top"/>
    </xf>
    <xf numFmtId="164" fontId="6" fillId="3" borderId="0" xfId="1" applyFont="1" applyFill="1" applyAlignment="1">
      <alignment horizontal="center" vertical="top"/>
    </xf>
    <xf numFmtId="49" fontId="5" fillId="3" borderId="0" xfId="0" applyNumberFormat="1" applyFont="1" applyFill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/>
    </xf>
    <xf numFmtId="164" fontId="5" fillId="3" borderId="1" xfId="1" applyFont="1" applyFill="1" applyBorder="1" applyAlignment="1">
      <alignment horizontal="center" vertical="top"/>
    </xf>
    <xf numFmtId="4" fontId="5" fillId="3" borderId="0" xfId="0" applyNumberFormat="1" applyFont="1" applyFill="1" applyAlignment="1">
      <alignment horizontal="center" vertical="top"/>
    </xf>
    <xf numFmtId="164" fontId="5" fillId="3" borderId="0" xfId="1" applyFont="1" applyFill="1" applyAlignment="1">
      <alignment horizontal="center" vertical="top"/>
    </xf>
    <xf numFmtId="0" fontId="5" fillId="3" borderId="0" xfId="0" applyFont="1" applyFill="1" applyAlignment="1">
      <alignment vertical="top"/>
    </xf>
    <xf numFmtId="49" fontId="19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/>
    </xf>
    <xf numFmtId="164" fontId="13" fillId="0" borderId="0" xfId="1" applyFont="1" applyFill="1" applyAlignment="1">
      <alignment vertical="top"/>
    </xf>
    <xf numFmtId="2" fontId="5" fillId="0" borderId="1" xfId="0" applyNumberFormat="1" applyFont="1" applyBorder="1" applyAlignment="1">
      <alignment horizontal="center" vertical="top"/>
    </xf>
    <xf numFmtId="0" fontId="16" fillId="0" borderId="0" xfId="5" applyFont="1" applyAlignment="1">
      <alignment horizontal="center"/>
    </xf>
    <xf numFmtId="0" fontId="17" fillId="0" borderId="5" xfId="4" applyFont="1" applyBorder="1" applyAlignment="1">
      <alignment horizontal="center" vertical="top"/>
    </xf>
    <xf numFmtId="0" fontId="17" fillId="0" borderId="0" xfId="4" applyFont="1" applyAlignment="1">
      <alignment horizontal="center" vertical="top"/>
    </xf>
    <xf numFmtId="0" fontId="17" fillId="0" borderId="6" xfId="4" applyFont="1" applyBorder="1" applyAlignment="1">
      <alignment horizontal="center" vertical="top"/>
    </xf>
    <xf numFmtId="0" fontId="17" fillId="0" borderId="2" xfId="4" applyFont="1" applyBorder="1" applyAlignment="1">
      <alignment horizontal="center" vertical="top"/>
    </xf>
    <xf numFmtId="0" fontId="17" fillId="0" borderId="3" xfId="4" applyFont="1" applyBorder="1" applyAlignment="1">
      <alignment horizontal="center" vertical="top"/>
    </xf>
    <xf numFmtId="0" fontId="17" fillId="0" borderId="4" xfId="4" applyFont="1" applyBorder="1" applyAlignment="1">
      <alignment horizontal="center" vertical="top"/>
    </xf>
    <xf numFmtId="0" fontId="18" fillId="0" borderId="0" xfId="5" applyFont="1" applyAlignment="1">
      <alignment horizontal="center"/>
    </xf>
    <xf numFmtId="49" fontId="19" fillId="0" borderId="0" xfId="0" applyNumberFormat="1" applyFont="1" applyAlignment="1">
      <alignment horizontal="center" vertical="top"/>
    </xf>
    <xf numFmtId="164" fontId="6" fillId="0" borderId="1" xfId="1" applyFont="1" applyBorder="1" applyAlignment="1">
      <alignment horizontal="right" vertical="top"/>
    </xf>
    <xf numFmtId="49" fontId="21" fillId="2" borderId="18" xfId="0" applyNumberFormat="1" applyFont="1" applyFill="1" applyBorder="1" applyAlignment="1">
      <alignment horizontal="center" vertical="top" wrapText="1"/>
    </xf>
    <xf numFmtId="49" fontId="21" fillId="2" borderId="17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49" fontId="21" fillId="2" borderId="8" xfId="0" applyNumberFormat="1" applyFont="1" applyFill="1" applyBorder="1" applyAlignment="1">
      <alignment horizontal="center" vertical="top" wrapText="1"/>
    </xf>
    <xf numFmtId="49" fontId="21" fillId="2" borderId="10" xfId="0" applyNumberFormat="1" applyFont="1" applyFill="1" applyBorder="1" applyAlignment="1">
      <alignment horizontal="center" vertical="top" wrapText="1"/>
    </xf>
    <xf numFmtId="49" fontId="21" fillId="2" borderId="6" xfId="0" applyNumberFormat="1" applyFont="1" applyFill="1" applyBorder="1" applyAlignment="1">
      <alignment horizontal="center" vertical="top" wrapText="1"/>
    </xf>
  </cellXfs>
  <cellStyles count="15">
    <cellStyle name="Moeda" xfId="1" builtinId="4"/>
    <cellStyle name="Moeda 2" xfId="8"/>
    <cellStyle name="Moeda 2 2" xfId="14"/>
    <cellStyle name="Normal" xfId="0" builtinId="0"/>
    <cellStyle name="Normal 2" xfId="2"/>
    <cellStyle name="Normal 2 2" xfId="5"/>
    <cellStyle name="Normal 3" xfId="4"/>
    <cellStyle name="Normal 3 2" xfId="12"/>
    <cellStyle name="Porcentagem" xfId="11" builtinId="5"/>
    <cellStyle name="Porcentagem 2" xfId="6"/>
    <cellStyle name="Porcentagem 2 2" xfId="9"/>
    <cellStyle name="Porcentagem 3" xfId="10"/>
    <cellStyle name="TableStyleLight1" xfId="3"/>
    <cellStyle name="Vírgula 2" xfId="7"/>
    <cellStyle name="Vírgula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106680</xdr:rowOff>
    </xdr:from>
    <xdr:to>
      <xdr:col>4</xdr:col>
      <xdr:colOff>434340</xdr:colOff>
      <xdr:row>36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1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936105"/>
          <a:ext cx="287274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ivkur3b\_Dcezar\ForteOr&#231;amentoCorenReformaAmplia&#231;&#227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Básico"/>
      <sheetName val="PropostaCoren"/>
      <sheetName val="Araújo"/>
      <sheetName val="NúcleoEngenharia"/>
      <sheetName val="HS"/>
      <sheetName val="HO"/>
      <sheetName val="Básico (2)"/>
      <sheetName val="Parede"/>
      <sheetName val="tinta"/>
      <sheetName val="Gesso"/>
      <sheetName val="acartonado"/>
      <sheetName val="Metálica"/>
      <sheetName val="PABXS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view="pageBreakPreview" zoomScaleNormal="100" zoomScaleSheetLayoutView="100" workbookViewId="0">
      <selection activeCell="B8" sqref="B8"/>
    </sheetView>
  </sheetViews>
  <sheetFormatPr defaultColWidth="8.85546875" defaultRowHeight="12.75" x14ac:dyDescent="0.2"/>
  <cols>
    <col min="1" max="1" width="8.85546875" style="1"/>
    <col min="2" max="3" width="9.28515625" style="1" bestFit="1" customWidth="1"/>
    <col min="4" max="4" width="18" style="1" bestFit="1" customWidth="1"/>
    <col min="5" max="5" width="9.7109375" style="1" customWidth="1"/>
    <col min="6" max="6" width="8.85546875" style="1"/>
    <col min="7" max="7" width="9.28515625" style="1" bestFit="1" customWidth="1"/>
    <col min="8" max="8" width="8.85546875" style="1"/>
    <col min="9" max="10" width="9.28515625" style="1" bestFit="1" customWidth="1"/>
    <col min="11" max="16384" width="8.85546875" style="1"/>
  </cols>
  <sheetData>
    <row r="1" spans="1:256" s="79" customFormat="1" ht="12.75" customHeight="1" x14ac:dyDescent="0.2">
      <c r="A1" s="127" t="s">
        <v>156</v>
      </c>
      <c r="B1" s="128"/>
      <c r="C1" s="128"/>
      <c r="D1" s="128"/>
      <c r="E1" s="128"/>
      <c r="F1" s="128"/>
      <c r="G1" s="128"/>
      <c r="H1" s="128"/>
      <c r="I1" s="128"/>
      <c r="J1" s="129"/>
    </row>
    <row r="2" spans="1:256" s="79" customFormat="1" ht="12.75" customHeight="1" x14ac:dyDescent="0.2">
      <c r="A2" s="124" t="s">
        <v>408</v>
      </c>
      <c r="B2" s="125"/>
      <c r="C2" s="125"/>
      <c r="D2" s="125"/>
      <c r="E2" s="125"/>
      <c r="F2" s="125"/>
      <c r="G2" s="125"/>
      <c r="H2" s="125"/>
      <c r="I2" s="125"/>
      <c r="J2" s="126"/>
    </row>
    <row r="3" spans="1:256" x14ac:dyDescent="0.2">
      <c r="A3" s="24"/>
      <c r="B3" s="25"/>
      <c r="C3" s="25"/>
      <c r="D3" s="25"/>
      <c r="E3" s="25"/>
      <c r="F3" s="25"/>
      <c r="G3" s="25"/>
      <c r="H3" s="26"/>
      <c r="I3" s="25"/>
      <c r="J3" s="27"/>
    </row>
    <row r="4" spans="1:256" ht="14.45" customHeight="1" x14ac:dyDescent="0.2">
      <c r="A4" s="28"/>
      <c r="B4" s="29"/>
      <c r="C4" s="30"/>
      <c r="D4" s="30"/>
      <c r="E4" s="30"/>
      <c r="F4" s="30"/>
      <c r="G4" s="30"/>
      <c r="H4" s="30"/>
      <c r="I4" s="30"/>
      <c r="J4" s="31"/>
    </row>
    <row r="5" spans="1:256" x14ac:dyDescent="0.2">
      <c r="A5" s="3"/>
      <c r="B5" s="2"/>
      <c r="C5" s="2"/>
      <c r="D5" s="2"/>
      <c r="E5" s="2"/>
      <c r="F5" s="2"/>
      <c r="G5" s="2"/>
      <c r="H5" s="2"/>
      <c r="I5" s="2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2">
      <c r="A6" s="5" t="s">
        <v>137</v>
      </c>
      <c r="J6" s="6"/>
    </row>
    <row r="7" spans="1:256" ht="13.5" thickBot="1" x14ac:dyDescent="0.25">
      <c r="A7" s="5"/>
      <c r="J7" s="6"/>
    </row>
    <row r="8" spans="1:256" ht="13.5" thickBot="1" x14ac:dyDescent="0.25">
      <c r="A8" s="5"/>
      <c r="B8" s="7">
        <v>1.09E-2</v>
      </c>
      <c r="J8" s="6"/>
    </row>
    <row r="9" spans="1:256" x14ac:dyDescent="0.2">
      <c r="A9" s="5"/>
      <c r="E9" s="1" t="s">
        <v>138</v>
      </c>
      <c r="I9" s="8">
        <v>1</v>
      </c>
      <c r="J9" s="9">
        <f>1+B12+B16+B24</f>
        <v>1.0509000000000002</v>
      </c>
    </row>
    <row r="10" spans="1:256" x14ac:dyDescent="0.2">
      <c r="A10" s="5" t="s">
        <v>139</v>
      </c>
      <c r="E10" s="1" t="s">
        <v>140</v>
      </c>
      <c r="I10" s="10">
        <v>2</v>
      </c>
      <c r="J10" s="9">
        <f>1+B8</f>
        <v>1.0108999999999999</v>
      </c>
    </row>
    <row r="11" spans="1:256" ht="13.5" thickBot="1" x14ac:dyDescent="0.25">
      <c r="A11" s="5"/>
      <c r="E11" s="1" t="s">
        <v>141</v>
      </c>
      <c r="I11" s="10">
        <v>3</v>
      </c>
      <c r="J11" s="9">
        <f>1+B20</f>
        <v>1.0740000000000001</v>
      </c>
    </row>
    <row r="12" spans="1:256" ht="13.5" thickBot="1" x14ac:dyDescent="0.25">
      <c r="A12" s="5"/>
      <c r="B12" s="7">
        <v>9.7000000000000003E-3</v>
      </c>
      <c r="E12" s="1" t="s">
        <v>142</v>
      </c>
      <c r="I12" s="11">
        <v>4</v>
      </c>
      <c r="J12" s="9">
        <f>1-C30-E30-G30-C32</f>
        <v>0.92349999999999999</v>
      </c>
    </row>
    <row r="13" spans="1:256" x14ac:dyDescent="0.2">
      <c r="A13" s="5"/>
      <c r="J13" s="6"/>
    </row>
    <row r="14" spans="1:256" x14ac:dyDescent="0.2">
      <c r="A14" s="5" t="s">
        <v>143</v>
      </c>
      <c r="J14" s="6"/>
    </row>
    <row r="15" spans="1:256" ht="13.5" thickBot="1" x14ac:dyDescent="0.25">
      <c r="A15" s="5"/>
      <c r="J15" s="6"/>
    </row>
    <row r="16" spans="1:256" ht="13.5" thickBot="1" x14ac:dyDescent="0.25">
      <c r="A16" s="5"/>
      <c r="B16" s="7">
        <v>0.04</v>
      </c>
      <c r="J16" s="6"/>
    </row>
    <row r="17" spans="1:10" x14ac:dyDescent="0.2">
      <c r="A17" s="5"/>
      <c r="J17" s="6"/>
    </row>
    <row r="18" spans="1:10" x14ac:dyDescent="0.2">
      <c r="A18" s="5" t="s">
        <v>144</v>
      </c>
      <c r="J18" s="6"/>
    </row>
    <row r="19" spans="1:10" ht="13.5" thickBot="1" x14ac:dyDescent="0.25">
      <c r="A19" s="5"/>
      <c r="J19" s="6"/>
    </row>
    <row r="20" spans="1:10" ht="13.5" thickBot="1" x14ac:dyDescent="0.25">
      <c r="A20" s="5"/>
      <c r="B20" s="7">
        <v>7.3999999999999996E-2</v>
      </c>
      <c r="J20" s="6"/>
    </row>
    <row r="21" spans="1:10" x14ac:dyDescent="0.2">
      <c r="A21" s="5"/>
      <c r="J21" s="6"/>
    </row>
    <row r="22" spans="1:10" x14ac:dyDescent="0.2">
      <c r="A22" s="5" t="s">
        <v>145</v>
      </c>
      <c r="J22" s="6"/>
    </row>
    <row r="23" spans="1:10" ht="13.5" thickBot="1" x14ac:dyDescent="0.25">
      <c r="A23" s="5"/>
      <c r="J23" s="6"/>
    </row>
    <row r="24" spans="1:10" ht="13.5" thickBot="1" x14ac:dyDescent="0.25">
      <c r="A24" s="5"/>
      <c r="B24" s="7">
        <v>1.1999999999999999E-3</v>
      </c>
      <c r="J24" s="6"/>
    </row>
    <row r="25" spans="1:10" x14ac:dyDescent="0.2">
      <c r="A25" s="5"/>
      <c r="B25" s="12"/>
      <c r="J25" s="6"/>
    </row>
    <row r="26" spans="1:10" x14ac:dyDescent="0.2">
      <c r="A26" s="5" t="s">
        <v>146</v>
      </c>
      <c r="B26" s="12"/>
      <c r="J26" s="6"/>
    </row>
    <row r="27" spans="1:10" x14ac:dyDescent="0.2">
      <c r="A27" s="5" t="s">
        <v>147</v>
      </c>
      <c r="J27" s="6"/>
    </row>
    <row r="28" spans="1:10" x14ac:dyDescent="0.2">
      <c r="A28" s="5" t="s">
        <v>148</v>
      </c>
      <c r="J28" s="6"/>
    </row>
    <row r="29" spans="1:10" ht="13.5" thickBot="1" x14ac:dyDescent="0.25">
      <c r="A29" s="5"/>
      <c r="J29" s="6"/>
    </row>
    <row r="30" spans="1:10" ht="13.5" thickBot="1" x14ac:dyDescent="0.25">
      <c r="A30" s="5"/>
      <c r="B30" s="1" t="s">
        <v>149</v>
      </c>
      <c r="C30" s="7">
        <v>0.03</v>
      </c>
      <c r="D30" s="13" t="s">
        <v>150</v>
      </c>
      <c r="E30" s="7">
        <v>6.4999999999999997E-3</v>
      </c>
      <c r="F30" s="13" t="s">
        <v>151</v>
      </c>
      <c r="G30" s="7">
        <v>0.04</v>
      </c>
      <c r="J30" s="6"/>
    </row>
    <row r="31" spans="1:10" ht="13.5" thickBot="1" x14ac:dyDescent="0.25">
      <c r="A31" s="5"/>
      <c r="J31" s="6"/>
    </row>
    <row r="32" spans="1:10" ht="13.5" thickBot="1" x14ac:dyDescent="0.25">
      <c r="A32" s="5"/>
      <c r="B32" s="1" t="s">
        <v>152</v>
      </c>
      <c r="C32" s="7">
        <v>0</v>
      </c>
      <c r="J32" s="6"/>
    </row>
    <row r="33" spans="1:13" x14ac:dyDescent="0.2">
      <c r="A33" s="5"/>
      <c r="J33" s="6"/>
    </row>
    <row r="34" spans="1:13" x14ac:dyDescent="0.2">
      <c r="A34" s="5"/>
      <c r="J34" s="6"/>
    </row>
    <row r="35" spans="1:13" x14ac:dyDescent="0.2">
      <c r="A35" s="5"/>
      <c r="J35" s="6"/>
    </row>
    <row r="36" spans="1:13" x14ac:dyDescent="0.2">
      <c r="A36" s="5"/>
      <c r="J36" s="6"/>
    </row>
    <row r="37" spans="1:13" x14ac:dyDescent="0.2">
      <c r="A37" s="5"/>
      <c r="J37" s="6"/>
    </row>
    <row r="38" spans="1:13" ht="13.5" thickBot="1" x14ac:dyDescent="0.25">
      <c r="A38" s="5"/>
      <c r="J38" s="6"/>
    </row>
    <row r="39" spans="1:13" ht="13.5" thickBot="1" x14ac:dyDescent="0.25">
      <c r="A39" s="5"/>
      <c r="B39" s="14" t="s">
        <v>153</v>
      </c>
      <c r="C39" s="15"/>
      <c r="D39" s="16">
        <f>ROUND((J9*J10*J11/J12)-1,4)</f>
        <v>0.23549999999999999</v>
      </c>
      <c r="F39" s="1" t="s">
        <v>154</v>
      </c>
      <c r="J39" s="6"/>
      <c r="L39" s="17"/>
      <c r="M39" s="18"/>
    </row>
    <row r="40" spans="1:13" x14ac:dyDescent="0.2">
      <c r="A40" s="19"/>
      <c r="B40" s="20"/>
      <c r="C40" s="20"/>
      <c r="D40" s="20"/>
      <c r="E40" s="20"/>
      <c r="F40" s="20"/>
      <c r="G40" s="20"/>
      <c r="H40" s="20"/>
      <c r="I40" s="20"/>
      <c r="J40" s="21"/>
    </row>
    <row r="41" spans="1:13" x14ac:dyDescent="0.2">
      <c r="J41" s="22"/>
    </row>
    <row r="42" spans="1:13" x14ac:dyDescent="0.2">
      <c r="J42" s="22"/>
    </row>
    <row r="43" spans="1:13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</row>
    <row r="44" spans="1:13" x14ac:dyDescent="0.2">
      <c r="A44" s="130"/>
      <c r="B44" s="130"/>
      <c r="C44" s="130"/>
      <c r="D44" s="130"/>
      <c r="E44" s="130"/>
      <c r="F44" s="130"/>
      <c r="G44" s="130"/>
      <c r="H44" s="130"/>
      <c r="I44" s="130"/>
      <c r="J44" s="130"/>
    </row>
    <row r="45" spans="1:13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</row>
    <row r="46" spans="1:13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</row>
  </sheetData>
  <mergeCells count="6">
    <mergeCell ref="A46:J46"/>
    <mergeCell ref="A2:J2"/>
    <mergeCell ref="A1:J1"/>
    <mergeCell ref="A43:J43"/>
    <mergeCell ref="A44:J44"/>
    <mergeCell ref="A45:J45"/>
  </mergeCells>
  <printOptions horizontalCentered="1"/>
  <pageMargins left="0.78740157480314965" right="0.78740157480314965" top="1.7716535433070868" bottom="0.78740157480314965" header="0" footer="0"/>
  <pageSetup scale="80" orientation="portrait" r:id="rId1"/>
  <headerFooter>
    <oddHeader>&amp;R&amp;G</oddHeader>
  </headerFooter>
  <colBreaks count="1" manualBreakCount="1">
    <brk id="10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tabSelected="1" view="pageBreakPreview" zoomScale="115" zoomScaleNormal="100" zoomScaleSheetLayoutView="115" workbookViewId="0">
      <pane ySplit="7" topLeftCell="A140" activePane="bottomLeft" state="frozen"/>
      <selection pane="bottomLeft" activeCell="P151" sqref="P151"/>
    </sheetView>
  </sheetViews>
  <sheetFormatPr defaultColWidth="9.140625" defaultRowHeight="12" x14ac:dyDescent="0.2"/>
  <cols>
    <col min="1" max="1" width="7.7109375" style="40" customWidth="1"/>
    <col min="2" max="2" width="10.140625" style="40" customWidth="1"/>
    <col min="3" max="3" width="46.5703125" style="60" bestFit="1" customWidth="1"/>
    <col min="4" max="5" width="8.7109375" style="40" customWidth="1"/>
    <col min="6" max="6" width="8.7109375" style="34" customWidth="1"/>
    <col min="7" max="7" width="12.7109375" style="34" customWidth="1"/>
    <col min="8" max="10" width="12.7109375" style="50" customWidth="1"/>
    <col min="11" max="11" width="12.7109375" style="50" bestFit="1" customWidth="1"/>
    <col min="12" max="12" width="14.140625" style="50" bestFit="1" customWidth="1"/>
    <col min="13" max="15" width="10.140625" style="34" bestFit="1" customWidth="1"/>
    <col min="16" max="16384" width="9.140625" style="34"/>
  </cols>
  <sheetData>
    <row r="1" spans="1:14" s="64" customFormat="1" ht="15.75" x14ac:dyDescent="0.2">
      <c r="A1" s="131" t="s">
        <v>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17"/>
    </row>
    <row r="2" spans="1:14" s="64" customFormat="1" ht="15.75" x14ac:dyDescent="0.2">
      <c r="A2" s="131" t="s">
        <v>419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17"/>
    </row>
    <row r="3" spans="1:14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4" s="62" customFormat="1" ht="12.75" x14ac:dyDescent="0.2">
      <c r="A4" s="62" t="s">
        <v>409</v>
      </c>
      <c r="H4" s="63"/>
      <c r="I4" s="63"/>
      <c r="J4" s="63"/>
      <c r="K4" s="63"/>
      <c r="L4" s="63"/>
    </row>
    <row r="5" spans="1:14" s="62" customFormat="1" ht="12.75" x14ac:dyDescent="0.2">
      <c r="A5" s="118" t="s">
        <v>410</v>
      </c>
      <c r="C5" s="119"/>
      <c r="D5" s="120"/>
      <c r="E5" s="120"/>
      <c r="H5" s="121"/>
      <c r="I5" s="121"/>
      <c r="J5" s="121"/>
      <c r="K5" s="121"/>
      <c r="L5" s="121"/>
    </row>
    <row r="6" spans="1:14" x14ac:dyDescent="0.2">
      <c r="C6" s="46"/>
    </row>
    <row r="7" spans="1:14" s="52" customFormat="1" ht="36" x14ac:dyDescent="0.2">
      <c r="A7" s="51" t="s">
        <v>0</v>
      </c>
      <c r="B7" s="33" t="s">
        <v>209</v>
      </c>
      <c r="C7" s="33" t="s">
        <v>1</v>
      </c>
      <c r="D7" s="33" t="s">
        <v>185</v>
      </c>
      <c r="E7" s="33" t="s">
        <v>417</v>
      </c>
      <c r="F7" s="33" t="s">
        <v>2</v>
      </c>
      <c r="G7" s="33" t="s">
        <v>187</v>
      </c>
      <c r="H7" s="45" t="s">
        <v>188</v>
      </c>
      <c r="I7" s="33" t="s">
        <v>199</v>
      </c>
      <c r="J7" s="33" t="s">
        <v>189</v>
      </c>
      <c r="K7" s="33" t="s">
        <v>186</v>
      </c>
      <c r="L7" s="33" t="s">
        <v>418</v>
      </c>
    </row>
    <row r="8" spans="1:14" s="38" customFormat="1" x14ac:dyDescent="0.2">
      <c r="A8" s="40"/>
      <c r="B8" s="98"/>
      <c r="C8" s="46"/>
      <c r="D8" s="40"/>
      <c r="E8" s="40"/>
      <c r="F8" s="34"/>
      <c r="G8" s="34"/>
      <c r="H8" s="50"/>
      <c r="I8" s="50"/>
      <c r="J8" s="50"/>
      <c r="K8" s="34"/>
      <c r="L8" s="34"/>
    </row>
    <row r="9" spans="1:14" x14ac:dyDescent="0.2">
      <c r="A9" s="41">
        <v>1</v>
      </c>
      <c r="B9" s="52"/>
      <c r="C9" s="47" t="s">
        <v>45</v>
      </c>
      <c r="D9" s="53"/>
      <c r="E9" s="53"/>
      <c r="F9" s="54"/>
      <c r="G9" s="55"/>
      <c r="H9" s="55"/>
      <c r="I9" s="55"/>
      <c r="J9" s="55"/>
      <c r="K9" s="56"/>
      <c r="L9" s="56"/>
    </row>
    <row r="10" spans="1:14" ht="48" x14ac:dyDescent="0.2">
      <c r="A10" s="38" t="s">
        <v>3</v>
      </c>
      <c r="B10" s="99" t="s">
        <v>249</v>
      </c>
      <c r="C10" s="37" t="s">
        <v>198</v>
      </c>
      <c r="D10" s="48">
        <f>0.8*0.6</f>
        <v>0.48</v>
      </c>
      <c r="E10" s="48">
        <f>ROUND(D10*30,2)</f>
        <v>14.4</v>
      </c>
      <c r="F10" s="35" t="s">
        <v>4</v>
      </c>
      <c r="G10" s="43"/>
      <c r="H10" s="36"/>
      <c r="I10" s="36">
        <f t="shared" ref="I10:I15" si="0">ROUND(G10*D10,2)</f>
        <v>0</v>
      </c>
      <c r="J10" s="36">
        <f t="shared" ref="J10:J15" si="1">ROUND(H10*D10,2)</f>
        <v>0</v>
      </c>
      <c r="K10" s="36">
        <f>ROUND(I10+J10,2)</f>
        <v>0</v>
      </c>
      <c r="L10" s="36">
        <f>ROUND((I10+J10)*30,2)</f>
        <v>0</v>
      </c>
      <c r="N10" s="88"/>
    </row>
    <row r="11" spans="1:14" ht="24" x14ac:dyDescent="0.2">
      <c r="A11" s="38" t="s">
        <v>194</v>
      </c>
      <c r="B11" s="99" t="s">
        <v>250</v>
      </c>
      <c r="C11" s="37" t="s">
        <v>61</v>
      </c>
      <c r="D11" s="48">
        <v>45.54</v>
      </c>
      <c r="E11" s="48">
        <f t="shared" ref="E11:E15" si="2">ROUND(D11*30,2)</f>
        <v>1366.2</v>
      </c>
      <c r="F11" s="35" t="s">
        <v>4</v>
      </c>
      <c r="G11" s="43"/>
      <c r="H11" s="36"/>
      <c r="I11" s="36">
        <f t="shared" si="0"/>
        <v>0</v>
      </c>
      <c r="J11" s="36">
        <f t="shared" si="1"/>
        <v>0</v>
      </c>
      <c r="K11" s="36">
        <f t="shared" ref="K11:K15" si="3">ROUND(I11+J11,2)</f>
        <v>0</v>
      </c>
      <c r="L11" s="36">
        <f t="shared" ref="L11:L15" si="4">ROUND((I11+J11)*30,2)</f>
        <v>0</v>
      </c>
    </row>
    <row r="12" spans="1:14" ht="24" x14ac:dyDescent="0.2">
      <c r="A12" s="38" t="s">
        <v>247</v>
      </c>
      <c r="B12" s="99" t="s">
        <v>252</v>
      </c>
      <c r="C12" s="37" t="s">
        <v>251</v>
      </c>
      <c r="D12" s="111">
        <v>21.23</v>
      </c>
      <c r="E12" s="48">
        <f t="shared" si="2"/>
        <v>636.9</v>
      </c>
      <c r="F12" s="35" t="s">
        <v>5</v>
      </c>
      <c r="G12" s="43"/>
      <c r="H12" s="36"/>
      <c r="I12" s="36">
        <f t="shared" si="0"/>
        <v>0</v>
      </c>
      <c r="J12" s="36">
        <f t="shared" si="1"/>
        <v>0</v>
      </c>
      <c r="K12" s="36">
        <f t="shared" si="3"/>
        <v>0</v>
      </c>
      <c r="L12" s="36">
        <f t="shared" si="4"/>
        <v>0</v>
      </c>
      <c r="N12" s="88"/>
    </row>
    <row r="13" spans="1:14" ht="24" x14ac:dyDescent="0.2">
      <c r="A13" s="38" t="s">
        <v>248</v>
      </c>
      <c r="B13" s="99" t="s">
        <v>253</v>
      </c>
      <c r="C13" s="37" t="s">
        <v>254</v>
      </c>
      <c r="D13" s="111">
        <v>27.6</v>
      </c>
      <c r="E13" s="48">
        <f t="shared" si="2"/>
        <v>828</v>
      </c>
      <c r="F13" s="35" t="s">
        <v>5</v>
      </c>
      <c r="G13" s="43"/>
      <c r="H13" s="36"/>
      <c r="I13" s="36">
        <f t="shared" si="0"/>
        <v>0</v>
      </c>
      <c r="J13" s="36">
        <f t="shared" si="1"/>
        <v>0</v>
      </c>
      <c r="K13" s="36">
        <f t="shared" si="3"/>
        <v>0</v>
      </c>
      <c r="L13" s="36">
        <f t="shared" si="4"/>
        <v>0</v>
      </c>
    </row>
    <row r="14" spans="1:14" ht="24" x14ac:dyDescent="0.2">
      <c r="A14" s="38" t="s">
        <v>379</v>
      </c>
      <c r="B14" s="99" t="s">
        <v>255</v>
      </c>
      <c r="C14" s="37" t="s">
        <v>256</v>
      </c>
      <c r="D14" s="111">
        <v>184</v>
      </c>
      <c r="E14" s="48">
        <f t="shared" si="2"/>
        <v>5520</v>
      </c>
      <c r="F14" s="35" t="s">
        <v>257</v>
      </c>
      <c r="G14" s="43"/>
      <c r="H14" s="36"/>
      <c r="I14" s="36">
        <f t="shared" si="0"/>
        <v>0</v>
      </c>
      <c r="J14" s="36">
        <f t="shared" si="1"/>
        <v>0</v>
      </c>
      <c r="K14" s="36">
        <f t="shared" si="3"/>
        <v>0</v>
      </c>
      <c r="L14" s="36">
        <f t="shared" si="4"/>
        <v>0</v>
      </c>
    </row>
    <row r="15" spans="1:14" ht="24" x14ac:dyDescent="0.2">
      <c r="A15" s="38" t="s">
        <v>380</v>
      </c>
      <c r="B15" s="99" t="s">
        <v>258</v>
      </c>
      <c r="C15" s="37" t="s">
        <v>259</v>
      </c>
      <c r="D15" s="48">
        <v>45.54</v>
      </c>
      <c r="E15" s="48">
        <f t="shared" si="2"/>
        <v>1366.2</v>
      </c>
      <c r="F15" s="35" t="s">
        <v>4</v>
      </c>
      <c r="G15" s="43"/>
      <c r="H15" s="36"/>
      <c r="I15" s="36">
        <f t="shared" si="0"/>
        <v>0</v>
      </c>
      <c r="J15" s="36">
        <f t="shared" si="1"/>
        <v>0</v>
      </c>
      <c r="K15" s="36">
        <f t="shared" si="3"/>
        <v>0</v>
      </c>
      <c r="L15" s="36">
        <f t="shared" si="4"/>
        <v>0</v>
      </c>
    </row>
    <row r="16" spans="1:14" s="54" customFormat="1" x14ac:dyDescent="0.2">
      <c r="A16" s="23"/>
      <c r="B16" s="100"/>
      <c r="C16" s="47"/>
      <c r="D16" s="23"/>
      <c r="E16" s="23"/>
      <c r="G16" s="55"/>
      <c r="H16" s="56"/>
      <c r="I16" s="56"/>
      <c r="J16" s="56" t="s">
        <v>125</v>
      </c>
      <c r="K16" s="56">
        <f>SUM(K10:K15)</f>
        <v>0</v>
      </c>
      <c r="L16" s="56">
        <f>SUM(L10:L15)</f>
        <v>0</v>
      </c>
      <c r="M16" s="96"/>
    </row>
    <row r="17" spans="1:13" x14ac:dyDescent="0.2">
      <c r="A17" s="41" t="s">
        <v>155</v>
      </c>
      <c r="B17" s="52"/>
      <c r="C17" s="47" t="s">
        <v>47</v>
      </c>
      <c r="D17" s="53"/>
      <c r="E17" s="53"/>
      <c r="F17" s="41"/>
      <c r="G17" s="57"/>
      <c r="H17" s="39"/>
      <c r="I17" s="39"/>
      <c r="J17" s="39"/>
      <c r="K17" s="39"/>
      <c r="L17" s="39"/>
    </row>
    <row r="18" spans="1:13" ht="24" x14ac:dyDescent="0.2">
      <c r="A18" s="38" t="s">
        <v>127</v>
      </c>
      <c r="B18" s="99" t="s">
        <v>260</v>
      </c>
      <c r="C18" s="37" t="s">
        <v>80</v>
      </c>
      <c r="D18" s="48">
        <f>(6.56+6.68+3.12+3.12+7.18+7.18+3.44+3.44+3.44+1.54)*0.5*0.2</f>
        <v>4.5699999999999994</v>
      </c>
      <c r="E18" s="48">
        <f>ROUND(D18*30,2)</f>
        <v>137.1</v>
      </c>
      <c r="F18" s="35" t="s">
        <v>5</v>
      </c>
      <c r="G18" s="89"/>
      <c r="H18" s="90"/>
      <c r="I18" s="90">
        <f t="shared" ref="I18:I28" si="5">ROUND(G18*D18,2)</f>
        <v>0</v>
      </c>
      <c r="J18" s="90">
        <f t="shared" ref="J18:J28" si="6">ROUND(H18*D18,2)</f>
        <v>0</v>
      </c>
      <c r="K18" s="90">
        <f>ROUND(I18+J18,2)</f>
        <v>0</v>
      </c>
      <c r="L18" s="36">
        <f>ROUND((I18+J18)*30,2)</f>
        <v>0</v>
      </c>
    </row>
    <row r="19" spans="1:13" ht="24" x14ac:dyDescent="0.2">
      <c r="A19" s="38" t="s">
        <v>126</v>
      </c>
      <c r="B19" s="99" t="s">
        <v>261</v>
      </c>
      <c r="C19" s="37" t="s">
        <v>81</v>
      </c>
      <c r="D19" s="48">
        <f>(6.56+6.68+3.12+3.12+7.18+7.18+3.44+3.44+3.44+1.54)*0.2*0.4</f>
        <v>3.6559999999999997</v>
      </c>
      <c r="E19" s="48">
        <f t="shared" ref="E19:E28" si="7">ROUND(D19*30,2)</f>
        <v>109.68</v>
      </c>
      <c r="F19" s="35" t="s">
        <v>5</v>
      </c>
      <c r="G19" s="43"/>
      <c r="H19" s="36"/>
      <c r="I19" s="36">
        <f t="shared" si="5"/>
        <v>0</v>
      </c>
      <c r="J19" s="36">
        <f t="shared" si="6"/>
        <v>0</v>
      </c>
      <c r="K19" s="36">
        <f t="shared" ref="K19:K28" si="8">ROUND(I19+J19,2)</f>
        <v>0</v>
      </c>
      <c r="L19" s="36">
        <f t="shared" ref="L19:L28" si="9">ROUND((I19+J19)*30,2)</f>
        <v>0</v>
      </c>
    </row>
    <row r="20" spans="1:13" ht="24" x14ac:dyDescent="0.2">
      <c r="A20" s="38" t="s">
        <v>128</v>
      </c>
      <c r="B20" s="99" t="s">
        <v>262</v>
      </c>
      <c r="C20" s="37" t="s">
        <v>82</v>
      </c>
      <c r="D20" s="48">
        <v>45.54</v>
      </c>
      <c r="E20" s="48">
        <f t="shared" si="7"/>
        <v>1366.2</v>
      </c>
      <c r="F20" s="35" t="s">
        <v>4</v>
      </c>
      <c r="G20" s="43"/>
      <c r="H20" s="36"/>
      <c r="I20" s="36">
        <f t="shared" si="5"/>
        <v>0</v>
      </c>
      <c r="J20" s="36">
        <f t="shared" si="6"/>
        <v>0</v>
      </c>
      <c r="K20" s="36">
        <f t="shared" si="8"/>
        <v>0</v>
      </c>
      <c r="L20" s="36">
        <f t="shared" si="9"/>
        <v>0</v>
      </c>
    </row>
    <row r="21" spans="1:13" ht="24" x14ac:dyDescent="0.2">
      <c r="A21" s="38" t="s">
        <v>129</v>
      </c>
      <c r="B21" s="99" t="s">
        <v>263</v>
      </c>
      <c r="C21" s="37" t="s">
        <v>83</v>
      </c>
      <c r="D21" s="48">
        <f>(45.54)*0.7</f>
        <v>31.877999999999997</v>
      </c>
      <c r="E21" s="48">
        <f t="shared" si="7"/>
        <v>956.34</v>
      </c>
      <c r="F21" s="35" t="s">
        <v>5</v>
      </c>
      <c r="G21" s="43"/>
      <c r="H21" s="36"/>
      <c r="I21" s="36">
        <f t="shared" si="5"/>
        <v>0</v>
      </c>
      <c r="J21" s="36">
        <f t="shared" si="6"/>
        <v>0</v>
      </c>
      <c r="K21" s="36">
        <f t="shared" si="8"/>
        <v>0</v>
      </c>
      <c r="L21" s="36">
        <f t="shared" si="9"/>
        <v>0</v>
      </c>
    </row>
    <row r="22" spans="1:13" ht="24" x14ac:dyDescent="0.2">
      <c r="A22" s="38" t="s">
        <v>130</v>
      </c>
      <c r="B22" s="99" t="s">
        <v>264</v>
      </c>
      <c r="C22" s="37" t="s">
        <v>51</v>
      </c>
      <c r="D22" s="48">
        <v>45</v>
      </c>
      <c r="E22" s="48">
        <f t="shared" si="7"/>
        <v>1350</v>
      </c>
      <c r="F22" s="35" t="s">
        <v>19</v>
      </c>
      <c r="G22" s="43"/>
      <c r="H22" s="36"/>
      <c r="I22" s="36">
        <f t="shared" si="5"/>
        <v>0</v>
      </c>
      <c r="J22" s="36">
        <f t="shared" si="6"/>
        <v>0</v>
      </c>
      <c r="K22" s="36">
        <f t="shared" si="8"/>
        <v>0</v>
      </c>
      <c r="L22" s="36">
        <f t="shared" si="9"/>
        <v>0</v>
      </c>
    </row>
    <row r="23" spans="1:13" ht="24" x14ac:dyDescent="0.2">
      <c r="A23" s="38" t="s">
        <v>131</v>
      </c>
      <c r="B23" s="99" t="s">
        <v>265</v>
      </c>
      <c r="C23" s="37" t="s">
        <v>52</v>
      </c>
      <c r="D23" s="48">
        <f>3.82+(((6.56+2.82)*0.3)*0.12)</f>
        <v>4.15768</v>
      </c>
      <c r="E23" s="48">
        <f t="shared" si="7"/>
        <v>124.73</v>
      </c>
      <c r="F23" s="35" t="s">
        <v>5</v>
      </c>
      <c r="G23" s="43"/>
      <c r="H23" s="36"/>
      <c r="I23" s="36">
        <f t="shared" si="5"/>
        <v>0</v>
      </c>
      <c r="J23" s="36">
        <f t="shared" si="6"/>
        <v>0</v>
      </c>
      <c r="K23" s="36">
        <f t="shared" si="8"/>
        <v>0</v>
      </c>
      <c r="L23" s="36">
        <f t="shared" si="9"/>
        <v>0</v>
      </c>
      <c r="M23" s="54"/>
    </row>
    <row r="24" spans="1:13" ht="24" x14ac:dyDescent="0.2">
      <c r="A24" s="38" t="s">
        <v>132</v>
      </c>
      <c r="B24" s="99" t="s">
        <v>266</v>
      </c>
      <c r="C24" s="37" t="s">
        <v>84</v>
      </c>
      <c r="D24" s="48">
        <f>D23</f>
        <v>4.15768</v>
      </c>
      <c r="E24" s="48">
        <f t="shared" si="7"/>
        <v>124.73</v>
      </c>
      <c r="F24" s="35" t="s">
        <v>5</v>
      </c>
      <c r="G24" s="43"/>
      <c r="H24" s="36"/>
      <c r="I24" s="36">
        <f t="shared" si="5"/>
        <v>0</v>
      </c>
      <c r="J24" s="36">
        <f t="shared" si="6"/>
        <v>0</v>
      </c>
      <c r="K24" s="36">
        <f t="shared" si="8"/>
        <v>0</v>
      </c>
      <c r="L24" s="36">
        <f t="shared" si="9"/>
        <v>0</v>
      </c>
      <c r="M24" s="54"/>
    </row>
    <row r="25" spans="1:13" ht="24" x14ac:dyDescent="0.2">
      <c r="A25" s="38" t="s">
        <v>133</v>
      </c>
      <c r="B25" s="99" t="s">
        <v>267</v>
      </c>
      <c r="C25" s="37" t="s">
        <v>54</v>
      </c>
      <c r="D25" s="40">
        <f>ROUND((((6.56+6.56+6.68+6.68+3.24+3.44+3.44+1.54+6.68)*4)+((15*3*4)+(1.5*4))*0.395),2)</f>
        <v>252.75</v>
      </c>
      <c r="E25" s="48">
        <f t="shared" si="7"/>
        <v>7582.5</v>
      </c>
      <c r="F25" s="35" t="s">
        <v>7</v>
      </c>
      <c r="G25" s="43"/>
      <c r="H25" s="36"/>
      <c r="I25" s="36">
        <f t="shared" si="5"/>
        <v>0</v>
      </c>
      <c r="J25" s="36">
        <f t="shared" si="6"/>
        <v>0</v>
      </c>
      <c r="K25" s="36">
        <f t="shared" si="8"/>
        <v>0</v>
      </c>
      <c r="L25" s="36">
        <f t="shared" si="9"/>
        <v>0</v>
      </c>
      <c r="M25" s="54"/>
    </row>
    <row r="26" spans="1:13" ht="24" x14ac:dyDescent="0.2">
      <c r="A26" s="38" t="s">
        <v>134</v>
      </c>
      <c r="B26" s="99" t="s">
        <v>268</v>
      </c>
      <c r="C26" s="37" t="s">
        <v>55</v>
      </c>
      <c r="D26" s="91">
        <f>ROUND(((((6.56+6.56+6.68+6.68+3.24+3.44+3.44+1.54+6.68)+(15*3))/0.15)+(0.49*10))*0.109,2)</f>
        <v>65.8</v>
      </c>
      <c r="E26" s="48">
        <f t="shared" si="7"/>
        <v>1974</v>
      </c>
      <c r="F26" s="35" t="s">
        <v>7</v>
      </c>
      <c r="G26" s="43"/>
      <c r="H26" s="36"/>
      <c r="I26" s="36">
        <f t="shared" si="5"/>
        <v>0</v>
      </c>
      <c r="J26" s="36">
        <f t="shared" si="6"/>
        <v>0</v>
      </c>
      <c r="K26" s="36">
        <f t="shared" si="8"/>
        <v>0</v>
      </c>
      <c r="L26" s="36">
        <f t="shared" si="9"/>
        <v>0</v>
      </c>
    </row>
    <row r="27" spans="1:13" ht="24" x14ac:dyDescent="0.2">
      <c r="A27" s="38" t="s">
        <v>135</v>
      </c>
      <c r="B27" s="99" t="s">
        <v>269</v>
      </c>
      <c r="C27" s="37" t="s">
        <v>85</v>
      </c>
      <c r="D27" s="122">
        <f>(6.56+6.68+3.12+3.12+7.18+7.18+3.44+3.44+3.44+1.54)*0.72</f>
        <v>32.903999999999996</v>
      </c>
      <c r="E27" s="48">
        <f t="shared" si="7"/>
        <v>987.12</v>
      </c>
      <c r="F27" s="35" t="s">
        <v>4</v>
      </c>
      <c r="G27" s="43"/>
      <c r="H27" s="36"/>
      <c r="I27" s="36">
        <f t="shared" si="5"/>
        <v>0</v>
      </c>
      <c r="J27" s="36">
        <f t="shared" si="6"/>
        <v>0</v>
      </c>
      <c r="K27" s="36">
        <f t="shared" si="8"/>
        <v>0</v>
      </c>
      <c r="L27" s="36">
        <f t="shared" si="9"/>
        <v>0</v>
      </c>
    </row>
    <row r="28" spans="1:13" ht="24" x14ac:dyDescent="0.2">
      <c r="A28" s="38" t="s">
        <v>136</v>
      </c>
      <c r="B28" s="99" t="s">
        <v>270</v>
      </c>
      <c r="C28" s="37" t="s">
        <v>63</v>
      </c>
      <c r="D28" s="48">
        <f>(6.56+6.68+3.12+3.12+7.18+7.18+3.44+3.44+3.44+1.54)*0.3*2</f>
        <v>27.419999999999998</v>
      </c>
      <c r="E28" s="48">
        <f t="shared" si="7"/>
        <v>822.6</v>
      </c>
      <c r="F28" s="35" t="s">
        <v>4</v>
      </c>
      <c r="G28" s="43"/>
      <c r="H28" s="36"/>
      <c r="I28" s="36">
        <f t="shared" si="5"/>
        <v>0</v>
      </c>
      <c r="J28" s="36">
        <f t="shared" si="6"/>
        <v>0</v>
      </c>
      <c r="K28" s="36">
        <f t="shared" si="8"/>
        <v>0</v>
      </c>
      <c r="L28" s="36">
        <f t="shared" si="9"/>
        <v>0</v>
      </c>
    </row>
    <row r="29" spans="1:13" s="54" customFormat="1" x14ac:dyDescent="0.2">
      <c r="A29" s="23"/>
      <c r="B29" s="100"/>
      <c r="C29" s="47"/>
      <c r="D29" s="23"/>
      <c r="E29" s="23"/>
      <c r="G29" s="55"/>
      <c r="H29" s="56"/>
      <c r="I29" s="56"/>
      <c r="J29" s="56" t="s">
        <v>125</v>
      </c>
      <c r="K29" s="56">
        <f>SUM(K18:K28)</f>
        <v>0</v>
      </c>
      <c r="L29" s="56">
        <f>SUM(L18:L28)</f>
        <v>0</v>
      </c>
      <c r="M29" s="96"/>
    </row>
    <row r="30" spans="1:13" s="92" customFormat="1" x14ac:dyDescent="0.2">
      <c r="A30" s="103" t="s">
        <v>8</v>
      </c>
      <c r="B30" s="104"/>
      <c r="C30" s="105" t="s">
        <v>383</v>
      </c>
      <c r="D30" s="106"/>
      <c r="E30" s="106"/>
      <c r="F30" s="103"/>
      <c r="G30" s="107"/>
      <c r="H30" s="58"/>
      <c r="I30" s="58"/>
      <c r="J30" s="58"/>
      <c r="K30" s="58"/>
      <c r="L30" s="58"/>
    </row>
    <row r="31" spans="1:13" s="92" customFormat="1" ht="24" x14ac:dyDescent="0.2">
      <c r="A31" s="108" t="s">
        <v>9</v>
      </c>
      <c r="B31" s="109" t="s">
        <v>272</v>
      </c>
      <c r="C31" s="110" t="s">
        <v>386</v>
      </c>
      <c r="D31" s="111">
        <v>2.31</v>
      </c>
      <c r="E31" s="48">
        <f>ROUND(D31*30,2)</f>
        <v>69.3</v>
      </c>
      <c r="F31" s="112" t="s">
        <v>5</v>
      </c>
      <c r="G31" s="113"/>
      <c r="H31" s="61"/>
      <c r="I31" s="61">
        <f t="shared" ref="I31:I37" si="10">ROUND(G31*D31,2)</f>
        <v>0</v>
      </c>
      <c r="J31" s="61">
        <f t="shared" ref="J31:J37" si="11">ROUND(H31*D31,2)</f>
        <v>0</v>
      </c>
      <c r="K31" s="61">
        <f t="shared" ref="K31:K37" si="12">ROUND(I31+J31,2)</f>
        <v>0</v>
      </c>
      <c r="L31" s="36">
        <f>ROUND((I31+J31)*30,2)</f>
        <v>0</v>
      </c>
    </row>
    <row r="32" spans="1:13" s="92" customFormat="1" ht="24" x14ac:dyDescent="0.2">
      <c r="A32" s="108" t="s">
        <v>10</v>
      </c>
      <c r="B32" s="109" t="s">
        <v>273</v>
      </c>
      <c r="C32" s="110" t="s">
        <v>53</v>
      </c>
      <c r="D32" s="111">
        <f>D31</f>
        <v>2.31</v>
      </c>
      <c r="E32" s="48">
        <f t="shared" ref="E32:E37" si="13">ROUND(D32*30,2)</f>
        <v>69.3</v>
      </c>
      <c r="F32" s="112" t="s">
        <v>5</v>
      </c>
      <c r="G32" s="113"/>
      <c r="H32" s="61"/>
      <c r="I32" s="61">
        <f t="shared" si="10"/>
        <v>0</v>
      </c>
      <c r="J32" s="61">
        <f t="shared" si="11"/>
        <v>0</v>
      </c>
      <c r="K32" s="61">
        <f t="shared" si="12"/>
        <v>0</v>
      </c>
      <c r="L32" s="36">
        <f t="shared" ref="L32:L37" si="14">ROUND((I32+J32)*30,2)</f>
        <v>0</v>
      </c>
    </row>
    <row r="33" spans="1:13" s="92" customFormat="1" ht="24" x14ac:dyDescent="0.2">
      <c r="A33" s="108" t="s">
        <v>11</v>
      </c>
      <c r="B33" s="109" t="s">
        <v>378</v>
      </c>
      <c r="C33" s="110" t="s">
        <v>382</v>
      </c>
      <c r="D33" s="111">
        <f>(((7.12+3.6+1.57+3.45+7.9+3.6+2.35+3.45)*4)*0.395)+(((2.8*4*4)+(2.5*4*4)+((2.15+2.15+3.6)*4)+((3.55+3.55+1.5+1.5)*4)+((7.05+2.2+3.6+1.95+4.75+1.6+2.2+2.21+2.21)*4)+(2.82*4))*0.395)</f>
        <v>162.47140000000002</v>
      </c>
      <c r="E33" s="48">
        <f t="shared" si="13"/>
        <v>4874.1400000000003</v>
      </c>
      <c r="F33" s="112" t="s">
        <v>7</v>
      </c>
      <c r="G33" s="113"/>
      <c r="H33" s="61"/>
      <c r="I33" s="61">
        <f t="shared" si="10"/>
        <v>0</v>
      </c>
      <c r="J33" s="61">
        <f t="shared" si="11"/>
        <v>0</v>
      </c>
      <c r="K33" s="61">
        <f t="shared" si="12"/>
        <v>0</v>
      </c>
      <c r="L33" s="36">
        <f t="shared" si="14"/>
        <v>0</v>
      </c>
    </row>
    <row r="34" spans="1:13" s="92" customFormat="1" ht="24" x14ac:dyDescent="0.2">
      <c r="A34" s="108" t="s">
        <v>44</v>
      </c>
      <c r="B34" s="109" t="s">
        <v>411</v>
      </c>
      <c r="C34" s="110" t="s">
        <v>412</v>
      </c>
      <c r="D34" s="111">
        <f>(6.56*8)*0.617</f>
        <v>32.380159999999997</v>
      </c>
      <c r="E34" s="48">
        <f t="shared" si="13"/>
        <v>971.4</v>
      </c>
      <c r="F34" s="112" t="s">
        <v>7</v>
      </c>
      <c r="G34" s="113"/>
      <c r="H34" s="61"/>
      <c r="I34" s="61">
        <f t="shared" si="10"/>
        <v>0</v>
      </c>
      <c r="J34" s="61">
        <f t="shared" si="11"/>
        <v>0</v>
      </c>
      <c r="K34" s="61">
        <f t="shared" ref="K34" si="15">ROUND(I34+J34,2)</f>
        <v>0</v>
      </c>
      <c r="L34" s="36">
        <f t="shared" si="14"/>
        <v>0</v>
      </c>
    </row>
    <row r="35" spans="1:13" s="92" customFormat="1" ht="24" x14ac:dyDescent="0.2">
      <c r="A35" s="108" t="s">
        <v>56</v>
      </c>
      <c r="B35" s="109" t="s">
        <v>274</v>
      </c>
      <c r="C35" s="110" t="s">
        <v>384</v>
      </c>
      <c r="D35" s="111">
        <f>((((((7.12+3.6+1.57+3.45+7.9+3.6+2.35+3.45)*4)/0.15)*0.52)*0.109)+(((((2.8*4*4)+(2.5*4*4)+((2.15+2.15+3.6)*4)+((3.55+3.55+1.5+1.5)*4)+((7.05+2.2+3.6+1.95+4.75+1.6+2.2+2.21+2.21)*4))/0.15)*0.74)+(19*0.5))*0.109)</f>
        <v>195.02236400000001</v>
      </c>
      <c r="E35" s="48">
        <f t="shared" si="13"/>
        <v>5850.67</v>
      </c>
      <c r="F35" s="112" t="s">
        <v>7</v>
      </c>
      <c r="G35" s="113"/>
      <c r="H35" s="61"/>
      <c r="I35" s="61">
        <f t="shared" si="10"/>
        <v>0</v>
      </c>
      <c r="J35" s="61">
        <f t="shared" si="11"/>
        <v>0</v>
      </c>
      <c r="K35" s="61">
        <f t="shared" si="12"/>
        <v>0</v>
      </c>
      <c r="L35" s="36">
        <f t="shared" si="14"/>
        <v>0</v>
      </c>
    </row>
    <row r="36" spans="1:13" s="92" customFormat="1" ht="24" x14ac:dyDescent="0.2">
      <c r="A36" s="108" t="s">
        <v>381</v>
      </c>
      <c r="B36" s="109" t="s">
        <v>275</v>
      </c>
      <c r="C36" s="110" t="s">
        <v>385</v>
      </c>
      <c r="D36" s="111">
        <v>60.98</v>
      </c>
      <c r="E36" s="48">
        <f t="shared" si="13"/>
        <v>1829.4</v>
      </c>
      <c r="F36" s="112" t="s">
        <v>4</v>
      </c>
      <c r="G36" s="113"/>
      <c r="H36" s="61"/>
      <c r="I36" s="61">
        <f t="shared" si="10"/>
        <v>0</v>
      </c>
      <c r="J36" s="61">
        <f t="shared" si="11"/>
        <v>0</v>
      </c>
      <c r="K36" s="61">
        <f t="shared" si="12"/>
        <v>0</v>
      </c>
      <c r="L36" s="36">
        <f t="shared" si="14"/>
        <v>0</v>
      </c>
    </row>
    <row r="37" spans="1:13" s="92" customFormat="1" ht="24" x14ac:dyDescent="0.2">
      <c r="A37" s="108" t="s">
        <v>413</v>
      </c>
      <c r="B37" s="109" t="s">
        <v>276</v>
      </c>
      <c r="C37" s="110" t="s">
        <v>60</v>
      </c>
      <c r="D37" s="111">
        <v>3.27</v>
      </c>
      <c r="E37" s="48">
        <f t="shared" si="13"/>
        <v>98.1</v>
      </c>
      <c r="F37" s="112" t="s">
        <v>4</v>
      </c>
      <c r="G37" s="113"/>
      <c r="H37" s="61"/>
      <c r="I37" s="61">
        <f t="shared" si="10"/>
        <v>0</v>
      </c>
      <c r="J37" s="61">
        <f t="shared" si="11"/>
        <v>0</v>
      </c>
      <c r="K37" s="61">
        <f t="shared" si="12"/>
        <v>0</v>
      </c>
      <c r="L37" s="36">
        <f t="shared" si="14"/>
        <v>0</v>
      </c>
    </row>
    <row r="38" spans="1:13" s="54" customFormat="1" x14ac:dyDescent="0.2">
      <c r="A38" s="23"/>
      <c r="B38" s="100"/>
      <c r="C38" s="47"/>
      <c r="D38" s="23"/>
      <c r="E38" s="23"/>
      <c r="G38" s="55"/>
      <c r="H38" s="56"/>
      <c r="I38" s="56"/>
      <c r="J38" s="56" t="s">
        <v>125</v>
      </c>
      <c r="K38" s="56">
        <f>SUM(K31:K37)</f>
        <v>0</v>
      </c>
      <c r="L38" s="56">
        <f>SUM(L31:L37)</f>
        <v>0</v>
      </c>
      <c r="M38" s="96"/>
    </row>
    <row r="39" spans="1:13" s="54" customFormat="1" x14ac:dyDescent="0.2">
      <c r="A39" s="41" t="s">
        <v>12</v>
      </c>
      <c r="B39" s="52"/>
      <c r="C39" s="47" t="s">
        <v>387</v>
      </c>
      <c r="D39" s="53"/>
      <c r="E39" s="53"/>
      <c r="F39" s="41"/>
      <c r="G39" s="57"/>
      <c r="H39" s="39"/>
      <c r="I39" s="39"/>
      <c r="J39" s="39"/>
      <c r="K39" s="39"/>
      <c r="L39" s="39"/>
    </row>
    <row r="40" spans="1:13" s="54" customFormat="1" ht="24" x14ac:dyDescent="0.2">
      <c r="A40" s="38" t="s">
        <v>13</v>
      </c>
      <c r="B40" s="99" t="s">
        <v>271</v>
      </c>
      <c r="C40" s="37" t="s">
        <v>62</v>
      </c>
      <c r="D40" s="48">
        <f>(37.6*3.98)-22.47+(13.54*0.75)</f>
        <v>137.333</v>
      </c>
      <c r="E40" s="48">
        <f>ROUND(D40*30,2)</f>
        <v>4119.99</v>
      </c>
      <c r="F40" s="35" t="s">
        <v>4</v>
      </c>
      <c r="G40" s="43"/>
      <c r="H40" s="36"/>
      <c r="I40" s="36">
        <f>ROUND(G40*D40,2)</f>
        <v>0</v>
      </c>
      <c r="J40" s="36">
        <f>ROUND(H40*D40,2)</f>
        <v>0</v>
      </c>
      <c r="K40" s="36">
        <f>ROUND(I40+J40,2)</f>
        <v>0</v>
      </c>
      <c r="L40" s="36">
        <f>ROUND((I40+J40)*30,2)</f>
        <v>0</v>
      </c>
    </row>
    <row r="41" spans="1:13" s="54" customFormat="1" x14ac:dyDescent="0.2">
      <c r="A41" s="23"/>
      <c r="B41" s="100"/>
      <c r="C41" s="47"/>
      <c r="D41" s="23"/>
      <c r="E41" s="49"/>
      <c r="G41" s="55"/>
      <c r="H41" s="56"/>
      <c r="I41" s="56"/>
      <c r="J41" s="56" t="s">
        <v>125</v>
      </c>
      <c r="K41" s="56">
        <f>SUM(K40:K40)</f>
        <v>0</v>
      </c>
      <c r="L41" s="56">
        <f>SUM(L40:L40)</f>
        <v>0</v>
      </c>
      <c r="M41" s="96"/>
    </row>
    <row r="42" spans="1:13" x14ac:dyDescent="0.2">
      <c r="A42" s="41" t="s">
        <v>14</v>
      </c>
      <c r="B42" s="52"/>
      <c r="C42" s="47" t="s">
        <v>46</v>
      </c>
      <c r="D42" s="53"/>
      <c r="E42" s="49"/>
      <c r="F42" s="41"/>
      <c r="G42" s="57"/>
      <c r="H42" s="39"/>
      <c r="I42" s="39"/>
      <c r="J42" s="39"/>
      <c r="K42" s="39"/>
      <c r="L42" s="39"/>
    </row>
    <row r="43" spans="1:13" ht="24" x14ac:dyDescent="0.2">
      <c r="A43" s="38" t="s">
        <v>16</v>
      </c>
      <c r="B43" s="99" t="s">
        <v>277</v>
      </c>
      <c r="C43" s="37" t="s">
        <v>73</v>
      </c>
      <c r="D43" s="48">
        <f>D40*2+(13.54*0.75)+((6.56+2.82)*0.3)+((6.56+2.82)*0.12)</f>
        <v>288.76060000000001</v>
      </c>
      <c r="E43" s="48">
        <f t="shared" ref="E43:E48" si="16">ROUND(D43*30,2)</f>
        <v>8662.82</v>
      </c>
      <c r="F43" s="35" t="s">
        <v>4</v>
      </c>
      <c r="G43" s="43"/>
      <c r="H43" s="61"/>
      <c r="I43" s="36">
        <f t="shared" ref="I43:I48" si="17">ROUND(G43*D43,2)</f>
        <v>0</v>
      </c>
      <c r="J43" s="36">
        <f t="shared" ref="J43:J48" si="18">ROUND(H43*D43,2)</f>
        <v>0</v>
      </c>
      <c r="K43" s="36">
        <f>ROUND(I43+J43,2)</f>
        <v>0</v>
      </c>
      <c r="L43" s="36">
        <f>ROUND((I43+J43)*30,2)</f>
        <v>0</v>
      </c>
    </row>
    <row r="44" spans="1:13" ht="24" x14ac:dyDescent="0.2">
      <c r="A44" s="38" t="s">
        <v>17</v>
      </c>
      <c r="B44" s="99" t="s">
        <v>278</v>
      </c>
      <c r="C44" s="37" t="s">
        <v>86</v>
      </c>
      <c r="D44" s="48">
        <f>D40*2+(13.54*0.75)+(29.12*0.25)</f>
        <v>292.10099999999994</v>
      </c>
      <c r="E44" s="48">
        <f t="shared" si="16"/>
        <v>8763.0300000000007</v>
      </c>
      <c r="F44" s="35" t="s">
        <v>4</v>
      </c>
      <c r="G44" s="43"/>
      <c r="H44" s="61"/>
      <c r="I44" s="36">
        <f t="shared" si="17"/>
        <v>0</v>
      </c>
      <c r="J44" s="36">
        <f t="shared" si="18"/>
        <v>0</v>
      </c>
      <c r="K44" s="36">
        <f t="shared" ref="K44:K47" si="19">ROUND(I44+J44,2)</f>
        <v>0</v>
      </c>
      <c r="L44" s="36">
        <f t="shared" ref="L44:L48" si="20">ROUND((I44+J44)*30,2)</f>
        <v>0</v>
      </c>
    </row>
    <row r="45" spans="1:13" ht="24" x14ac:dyDescent="0.2">
      <c r="A45" s="38" t="s">
        <v>57</v>
      </c>
      <c r="B45" s="99" t="s">
        <v>279</v>
      </c>
      <c r="C45" s="37" t="s">
        <v>87</v>
      </c>
      <c r="D45" s="48">
        <v>41.97</v>
      </c>
      <c r="E45" s="48">
        <f t="shared" si="16"/>
        <v>1259.0999999999999</v>
      </c>
      <c r="F45" s="35" t="s">
        <v>19</v>
      </c>
      <c r="G45" s="43"/>
      <c r="H45" s="61"/>
      <c r="I45" s="36">
        <f t="shared" si="17"/>
        <v>0</v>
      </c>
      <c r="J45" s="36">
        <f t="shared" si="18"/>
        <v>0</v>
      </c>
      <c r="K45" s="36">
        <f t="shared" si="19"/>
        <v>0</v>
      </c>
      <c r="L45" s="36">
        <f t="shared" si="20"/>
        <v>0</v>
      </c>
    </row>
    <row r="46" spans="1:13" ht="24" x14ac:dyDescent="0.2">
      <c r="A46" s="38" t="s">
        <v>41</v>
      </c>
      <c r="B46" s="99" t="s">
        <v>280</v>
      </c>
      <c r="C46" s="37" t="s">
        <v>120</v>
      </c>
      <c r="D46" s="48">
        <f>(2.52*2.18*2)+(2.52*1.3*2)-(0.4*0.4)-(0.7*2.1)</f>
        <v>15.9092</v>
      </c>
      <c r="E46" s="48">
        <f t="shared" si="16"/>
        <v>477.28</v>
      </c>
      <c r="F46" s="35" t="s">
        <v>4</v>
      </c>
      <c r="G46" s="43"/>
      <c r="H46" s="61"/>
      <c r="I46" s="36">
        <f t="shared" si="17"/>
        <v>0</v>
      </c>
      <c r="J46" s="36">
        <f t="shared" si="18"/>
        <v>0</v>
      </c>
      <c r="K46" s="36">
        <f t="shared" si="19"/>
        <v>0</v>
      </c>
      <c r="L46" s="36">
        <f t="shared" si="20"/>
        <v>0</v>
      </c>
    </row>
    <row r="47" spans="1:13" ht="24" x14ac:dyDescent="0.2">
      <c r="A47" s="38" t="s">
        <v>290</v>
      </c>
      <c r="B47" s="99" t="s">
        <v>281</v>
      </c>
      <c r="C47" s="37" t="s">
        <v>58</v>
      </c>
      <c r="D47" s="48">
        <v>16.14</v>
      </c>
      <c r="E47" s="48">
        <f t="shared" si="16"/>
        <v>484.2</v>
      </c>
      <c r="F47" s="35" t="s">
        <v>4</v>
      </c>
      <c r="G47" s="43"/>
      <c r="H47" s="61"/>
      <c r="I47" s="36">
        <f t="shared" si="17"/>
        <v>0</v>
      </c>
      <c r="J47" s="36">
        <f t="shared" si="18"/>
        <v>0</v>
      </c>
      <c r="K47" s="36">
        <f t="shared" si="19"/>
        <v>0</v>
      </c>
      <c r="L47" s="36">
        <f t="shared" si="20"/>
        <v>0</v>
      </c>
    </row>
    <row r="48" spans="1:13" ht="24" x14ac:dyDescent="0.2">
      <c r="A48" s="38" t="s">
        <v>291</v>
      </c>
      <c r="B48" s="99" t="s">
        <v>282</v>
      </c>
      <c r="C48" s="37" t="s">
        <v>88</v>
      </c>
      <c r="D48" s="48">
        <v>40.76</v>
      </c>
      <c r="E48" s="48">
        <f t="shared" si="16"/>
        <v>1222.8</v>
      </c>
      <c r="F48" s="35" t="s">
        <v>4</v>
      </c>
      <c r="G48" s="43"/>
      <c r="H48" s="61"/>
      <c r="I48" s="36">
        <f t="shared" si="17"/>
        <v>0</v>
      </c>
      <c r="J48" s="36">
        <f t="shared" si="18"/>
        <v>0</v>
      </c>
      <c r="K48" s="36">
        <f t="shared" ref="K48" si="21">ROUND(I48+J48,2)</f>
        <v>0</v>
      </c>
      <c r="L48" s="36">
        <f t="shared" si="20"/>
        <v>0</v>
      </c>
    </row>
    <row r="49" spans="1:13" s="54" customFormat="1" x14ac:dyDescent="0.2">
      <c r="A49" s="23"/>
      <c r="B49" s="100"/>
      <c r="C49" s="47"/>
      <c r="D49" s="23"/>
      <c r="E49" s="23"/>
      <c r="G49" s="55"/>
      <c r="H49" s="56"/>
      <c r="I49" s="56"/>
      <c r="J49" s="56" t="s">
        <v>125</v>
      </c>
      <c r="K49" s="56">
        <f>SUM(K43:K48)</f>
        <v>0</v>
      </c>
      <c r="L49" s="56">
        <f>SUM(L43:L48)</f>
        <v>0</v>
      </c>
      <c r="M49" s="96"/>
    </row>
    <row r="50" spans="1:13" s="92" customFormat="1" x14ac:dyDescent="0.2">
      <c r="A50" s="103" t="s">
        <v>20</v>
      </c>
      <c r="B50" s="104"/>
      <c r="C50" s="105" t="s">
        <v>15</v>
      </c>
      <c r="D50" s="106"/>
      <c r="E50" s="106"/>
      <c r="F50" s="103"/>
      <c r="G50" s="107"/>
      <c r="H50" s="58"/>
      <c r="I50" s="58"/>
      <c r="J50" s="58"/>
      <c r="K50" s="58"/>
      <c r="L50" s="58"/>
    </row>
    <row r="51" spans="1:13" s="92" customFormat="1" ht="24" x14ac:dyDescent="0.2">
      <c r="A51" s="108" t="s">
        <v>22</v>
      </c>
      <c r="B51" s="109" t="s">
        <v>402</v>
      </c>
      <c r="C51" s="110" t="s">
        <v>403</v>
      </c>
      <c r="D51" s="111">
        <v>45.75</v>
      </c>
      <c r="E51" s="48">
        <f>ROUND(D51*30,2)</f>
        <v>1372.5</v>
      </c>
      <c r="F51" s="112" t="s">
        <v>4</v>
      </c>
      <c r="G51" s="113"/>
      <c r="H51" s="61"/>
      <c r="I51" s="61">
        <f>ROUND(G51*D51,2)</f>
        <v>0</v>
      </c>
      <c r="J51" s="61">
        <f>ROUND(H51*D51,2)</f>
        <v>0</v>
      </c>
      <c r="K51" s="61">
        <f>ROUND(I51+J51,2)</f>
        <v>0</v>
      </c>
      <c r="L51" s="36">
        <f>ROUND((I51+J51)*30,2)</f>
        <v>0</v>
      </c>
    </row>
    <row r="52" spans="1:13" s="92" customFormat="1" ht="24" x14ac:dyDescent="0.2">
      <c r="A52" s="108" t="s">
        <v>23</v>
      </c>
      <c r="B52" s="109" t="s">
        <v>393</v>
      </c>
      <c r="C52" s="110" t="s">
        <v>394</v>
      </c>
      <c r="D52" s="111">
        <v>38.909999999999997</v>
      </c>
      <c r="E52" s="48">
        <f t="shared" ref="E52:E54" si="22">ROUND(D52*30,2)</f>
        <v>1167.3</v>
      </c>
      <c r="F52" s="112" t="s">
        <v>4</v>
      </c>
      <c r="G52" s="113"/>
      <c r="H52" s="61"/>
      <c r="I52" s="61">
        <f>ROUND(G52*D52,2)</f>
        <v>0</v>
      </c>
      <c r="J52" s="61">
        <f>ROUND(H52*D52,2)</f>
        <v>0</v>
      </c>
      <c r="K52" s="61">
        <f t="shared" ref="K52" si="23">ROUND(I52+J52,2)</f>
        <v>0</v>
      </c>
      <c r="L52" s="36">
        <f t="shared" ref="L52:L54" si="24">ROUND((I52+J52)*30,2)</f>
        <v>0</v>
      </c>
    </row>
    <row r="53" spans="1:13" s="92" customFormat="1" ht="24" x14ac:dyDescent="0.2">
      <c r="A53" s="108" t="s">
        <v>24</v>
      </c>
      <c r="B53" s="109" t="s">
        <v>398</v>
      </c>
      <c r="C53" s="110" t="s">
        <v>399</v>
      </c>
      <c r="D53" s="111">
        <f>5.02+6.44+2.82</f>
        <v>14.280000000000001</v>
      </c>
      <c r="E53" s="48">
        <f t="shared" si="22"/>
        <v>428.4</v>
      </c>
      <c r="F53" s="112" t="s">
        <v>19</v>
      </c>
      <c r="G53" s="113"/>
      <c r="H53" s="61"/>
      <c r="I53" s="61">
        <f>ROUND(G53*D53,2)</f>
        <v>0</v>
      </c>
      <c r="J53" s="61">
        <f>ROUND(H53*D53,2)</f>
        <v>0</v>
      </c>
      <c r="K53" s="61">
        <f t="shared" ref="K53:K54" si="25">ROUND(I53+J53,2)</f>
        <v>0</v>
      </c>
      <c r="L53" s="36">
        <f t="shared" si="24"/>
        <v>0</v>
      </c>
    </row>
    <row r="54" spans="1:13" s="92" customFormat="1" ht="24" x14ac:dyDescent="0.2">
      <c r="A54" s="108" t="s">
        <v>25</v>
      </c>
      <c r="B54" s="109" t="s">
        <v>400</v>
      </c>
      <c r="C54" s="110" t="s">
        <v>401</v>
      </c>
      <c r="D54" s="111">
        <f>(12.08+10.52+2.28+2.78)</f>
        <v>27.660000000000004</v>
      </c>
      <c r="E54" s="48">
        <f t="shared" si="22"/>
        <v>829.8</v>
      </c>
      <c r="F54" s="112" t="s">
        <v>19</v>
      </c>
      <c r="G54" s="113"/>
      <c r="H54" s="61"/>
      <c r="I54" s="61">
        <f>ROUND(G54*D54,2)</f>
        <v>0</v>
      </c>
      <c r="J54" s="61">
        <f>ROUND(H54*D54,2)</f>
        <v>0</v>
      </c>
      <c r="K54" s="61">
        <f t="shared" si="25"/>
        <v>0</v>
      </c>
      <c r="L54" s="36">
        <f t="shared" si="24"/>
        <v>0</v>
      </c>
    </row>
    <row r="55" spans="1:13" s="54" customFormat="1" x14ac:dyDescent="0.2">
      <c r="A55" s="23"/>
      <c r="B55" s="100"/>
      <c r="C55" s="47"/>
      <c r="D55" s="23"/>
      <c r="E55" s="23"/>
      <c r="G55" s="55"/>
      <c r="H55" s="56"/>
      <c r="I55" s="56"/>
      <c r="J55" s="56" t="s">
        <v>125</v>
      </c>
      <c r="K55" s="56">
        <f>SUM(K51:K54)</f>
        <v>0</v>
      </c>
      <c r="L55" s="56">
        <f>SUM(L51:L54)</f>
        <v>0</v>
      </c>
      <c r="M55" s="96"/>
    </row>
    <row r="56" spans="1:13" x14ac:dyDescent="0.2">
      <c r="A56" s="41" t="s">
        <v>26</v>
      </c>
      <c r="B56" s="52"/>
      <c r="C56" s="47" t="s">
        <v>21</v>
      </c>
      <c r="D56" s="53"/>
      <c r="E56" s="53"/>
      <c r="F56" s="41"/>
      <c r="G56" s="57"/>
      <c r="H56" s="39"/>
      <c r="I56" s="39"/>
      <c r="J56" s="39"/>
      <c r="K56" s="39"/>
      <c r="L56" s="39"/>
    </row>
    <row r="57" spans="1:13" ht="24" x14ac:dyDescent="0.2">
      <c r="A57" s="38" t="s">
        <v>27</v>
      </c>
      <c r="B57" s="99" t="s">
        <v>283</v>
      </c>
      <c r="C57" s="37" t="s">
        <v>119</v>
      </c>
      <c r="D57" s="48">
        <f>(4*(0.8*2.1))+(0.7*2.1)</f>
        <v>8.1900000000000013</v>
      </c>
      <c r="E57" s="48">
        <f>ROUND(D57*30,2)</f>
        <v>245.7</v>
      </c>
      <c r="F57" s="35" t="s">
        <v>4</v>
      </c>
      <c r="G57" s="43"/>
      <c r="H57" s="36"/>
      <c r="I57" s="36">
        <f>ROUND(G57*D57,2)</f>
        <v>0</v>
      </c>
      <c r="J57" s="36">
        <f>ROUND(H57*D57,2)</f>
        <v>0</v>
      </c>
      <c r="K57" s="36">
        <f>ROUND(I57+J57,2)</f>
        <v>0</v>
      </c>
      <c r="L57" s="36">
        <f>ROUND((I57+J57)*30,2)</f>
        <v>0</v>
      </c>
    </row>
    <row r="58" spans="1:13" ht="24" x14ac:dyDescent="0.2">
      <c r="A58" s="38" t="s">
        <v>28</v>
      </c>
      <c r="B58" s="99" t="s">
        <v>284</v>
      </c>
      <c r="C58" s="37" t="s">
        <v>392</v>
      </c>
      <c r="D58" s="48">
        <f>4*(1*1.2)+(0.4*0.4)</f>
        <v>4.96</v>
      </c>
      <c r="E58" s="48">
        <f t="shared" ref="E58:E60" si="26">ROUND(D58*30,2)</f>
        <v>148.80000000000001</v>
      </c>
      <c r="F58" s="35" t="s">
        <v>4</v>
      </c>
      <c r="G58" s="43"/>
      <c r="H58" s="61"/>
      <c r="I58" s="36">
        <f>ROUND(G58*D58,2)</f>
        <v>0</v>
      </c>
      <c r="J58" s="36">
        <f>ROUND(H58*D58,2)</f>
        <v>0</v>
      </c>
      <c r="K58" s="36">
        <f t="shared" ref="K58:K60" si="27">ROUND(I58+J58,2)</f>
        <v>0</v>
      </c>
      <c r="L58" s="36">
        <f t="shared" ref="L58:L60" si="28">ROUND((I58+J58)*30,2)</f>
        <v>0</v>
      </c>
    </row>
    <row r="59" spans="1:13" ht="24" x14ac:dyDescent="0.2">
      <c r="A59" s="38" t="s">
        <v>292</v>
      </c>
      <c r="B59" s="99" t="s">
        <v>285</v>
      </c>
      <c r="C59" s="37" t="s">
        <v>89</v>
      </c>
      <c r="D59" s="48">
        <v>5</v>
      </c>
      <c r="E59" s="48">
        <f t="shared" si="26"/>
        <v>150</v>
      </c>
      <c r="F59" s="35" t="s">
        <v>18</v>
      </c>
      <c r="G59" s="43"/>
      <c r="H59" s="61"/>
      <c r="I59" s="36">
        <f>ROUND(G59*D59,2)</f>
        <v>0</v>
      </c>
      <c r="J59" s="36">
        <f>ROUND(H59*D59,2)</f>
        <v>0</v>
      </c>
      <c r="K59" s="36">
        <f t="shared" si="27"/>
        <v>0</v>
      </c>
      <c r="L59" s="36">
        <f t="shared" si="28"/>
        <v>0</v>
      </c>
    </row>
    <row r="60" spans="1:13" ht="24" x14ac:dyDescent="0.2">
      <c r="A60" s="38" t="s">
        <v>293</v>
      </c>
      <c r="B60" s="99" t="s">
        <v>286</v>
      </c>
      <c r="C60" s="37" t="s">
        <v>74</v>
      </c>
      <c r="D60" s="48">
        <f>D59*3</f>
        <v>15</v>
      </c>
      <c r="E60" s="48">
        <f t="shared" si="26"/>
        <v>450</v>
      </c>
      <c r="F60" s="35" t="s">
        <v>18</v>
      </c>
      <c r="G60" s="43"/>
      <c r="H60" s="61"/>
      <c r="I60" s="36">
        <f>ROUND(G60*D60,2)</f>
        <v>0</v>
      </c>
      <c r="J60" s="36">
        <f>ROUND(H60*D60,2)</f>
        <v>0</v>
      </c>
      <c r="K60" s="36">
        <f t="shared" si="27"/>
        <v>0</v>
      </c>
      <c r="L60" s="36">
        <f t="shared" si="28"/>
        <v>0</v>
      </c>
    </row>
    <row r="61" spans="1:13" s="54" customFormat="1" x14ac:dyDescent="0.2">
      <c r="A61" s="23"/>
      <c r="B61" s="100"/>
      <c r="C61" s="47"/>
      <c r="D61" s="23"/>
      <c r="E61" s="23"/>
      <c r="G61" s="55"/>
      <c r="H61" s="56"/>
      <c r="I61" s="56"/>
      <c r="J61" s="56" t="s">
        <v>125</v>
      </c>
      <c r="K61" s="56">
        <f>SUM(K57:K60)</f>
        <v>0</v>
      </c>
      <c r="L61" s="56">
        <f>SUM(L57:L60)</f>
        <v>0</v>
      </c>
      <c r="M61" s="96"/>
    </row>
    <row r="62" spans="1:13" x14ac:dyDescent="0.2">
      <c r="A62" s="41" t="s">
        <v>30</v>
      </c>
      <c r="B62" s="52"/>
      <c r="C62" s="47" t="s">
        <v>29</v>
      </c>
      <c r="D62" s="53"/>
      <c r="E62" s="53"/>
      <c r="F62" s="41"/>
      <c r="G62" s="57"/>
      <c r="H62" s="39"/>
      <c r="I62" s="39"/>
      <c r="J62" s="39"/>
      <c r="K62" s="39"/>
      <c r="L62" s="39"/>
    </row>
    <row r="63" spans="1:13" ht="24" x14ac:dyDescent="0.2">
      <c r="A63" s="38" t="s">
        <v>31</v>
      </c>
      <c r="B63" s="99" t="s">
        <v>287</v>
      </c>
      <c r="C63" s="37" t="s">
        <v>59</v>
      </c>
      <c r="D63" s="48">
        <f>D43</f>
        <v>288.76060000000001</v>
      </c>
      <c r="E63" s="48">
        <f>ROUND(D63*30,2)</f>
        <v>8662.82</v>
      </c>
      <c r="F63" s="35" t="s">
        <v>4</v>
      </c>
      <c r="G63" s="43"/>
      <c r="H63" s="36"/>
      <c r="I63" s="36">
        <f>ROUND(G63*D63,2)</f>
        <v>0</v>
      </c>
      <c r="J63" s="36">
        <f>ROUND(H63*D63,2)</f>
        <v>0</v>
      </c>
      <c r="K63" s="36">
        <f>ROUND(I63+J63,2)</f>
        <v>0</v>
      </c>
      <c r="L63" s="36">
        <f>ROUND((I63+J63)*30,2)</f>
        <v>0</v>
      </c>
    </row>
    <row r="64" spans="1:13" ht="24" x14ac:dyDescent="0.2">
      <c r="A64" s="38" t="s">
        <v>32</v>
      </c>
      <c r="B64" s="99" t="s">
        <v>288</v>
      </c>
      <c r="C64" s="37" t="s">
        <v>75</v>
      </c>
      <c r="D64" s="48">
        <f>(D57+D58)*3</f>
        <v>39.450000000000003</v>
      </c>
      <c r="E64" s="48">
        <f>ROUND(D64*30,2)</f>
        <v>1183.5</v>
      </c>
      <c r="F64" s="35" t="s">
        <v>4</v>
      </c>
      <c r="G64" s="43"/>
      <c r="H64" s="36"/>
      <c r="I64" s="36">
        <f>ROUND(G64*D64,2)</f>
        <v>0</v>
      </c>
      <c r="J64" s="36">
        <f>ROUND(H64*D64,2)</f>
        <v>0</v>
      </c>
      <c r="K64" s="36">
        <f>ROUND(I64+J64,2)</f>
        <v>0</v>
      </c>
      <c r="L64" s="36">
        <f>ROUND((I64+J64)*30,2)</f>
        <v>0</v>
      </c>
    </row>
    <row r="65" spans="1:13" s="54" customFormat="1" x14ac:dyDescent="0.2">
      <c r="A65" s="23"/>
      <c r="B65" s="100"/>
      <c r="C65" s="47"/>
      <c r="D65" s="23"/>
      <c r="E65" s="23"/>
      <c r="G65" s="55"/>
      <c r="H65" s="56"/>
      <c r="I65" s="56"/>
      <c r="J65" s="56" t="s">
        <v>125</v>
      </c>
      <c r="K65" s="56">
        <f>SUM(K63:K64)</f>
        <v>0</v>
      </c>
      <c r="L65" s="56">
        <f>SUM(L63:L64)</f>
        <v>0</v>
      </c>
      <c r="M65" s="96"/>
    </row>
    <row r="66" spans="1:13" x14ac:dyDescent="0.2">
      <c r="A66" s="41" t="s">
        <v>34</v>
      </c>
      <c r="B66" s="52"/>
      <c r="C66" s="47" t="s">
        <v>33</v>
      </c>
      <c r="D66" s="53"/>
      <c r="E66" s="53"/>
      <c r="F66" s="41"/>
      <c r="G66" s="57"/>
      <c r="H66" s="39"/>
      <c r="I66" s="39"/>
      <c r="J66" s="39"/>
      <c r="K66" s="39"/>
      <c r="L66" s="39"/>
    </row>
    <row r="67" spans="1:13" ht="24" x14ac:dyDescent="0.2">
      <c r="A67" s="38" t="s">
        <v>35</v>
      </c>
      <c r="B67" s="99" t="s">
        <v>210</v>
      </c>
      <c r="C67" s="37" t="s">
        <v>315</v>
      </c>
      <c r="D67" s="48">
        <v>1</v>
      </c>
      <c r="E67" s="48">
        <f>ROUND(D67*30,2)</f>
        <v>30</v>
      </c>
      <c r="F67" s="35" t="s">
        <v>18</v>
      </c>
      <c r="G67" s="43"/>
      <c r="H67" s="61"/>
      <c r="I67" s="36">
        <f t="shared" ref="I67:I74" si="29">ROUND(G67*D67,2)</f>
        <v>0</v>
      </c>
      <c r="J67" s="36">
        <f t="shared" ref="J67:J74" si="30">ROUND(H67*D67,2)</f>
        <v>0</v>
      </c>
      <c r="K67" s="36">
        <f>ROUND(I67+J67,2)</f>
        <v>0</v>
      </c>
      <c r="L67" s="36">
        <f>ROUND((I67+J67)*30,2)</f>
        <v>0</v>
      </c>
    </row>
    <row r="68" spans="1:13" ht="24" x14ac:dyDescent="0.2">
      <c r="A68" s="38" t="s">
        <v>36</v>
      </c>
      <c r="B68" s="99" t="s">
        <v>211</v>
      </c>
      <c r="C68" s="37" t="s">
        <v>76</v>
      </c>
      <c r="D68" s="48">
        <v>1</v>
      </c>
      <c r="E68" s="48">
        <f t="shared" ref="E68:E74" si="31">ROUND(D68*30,2)</f>
        <v>30</v>
      </c>
      <c r="F68" s="35" t="s">
        <v>18</v>
      </c>
      <c r="G68" s="43"/>
      <c r="H68" s="36"/>
      <c r="I68" s="36">
        <f t="shared" si="29"/>
        <v>0</v>
      </c>
      <c r="J68" s="36">
        <f t="shared" si="30"/>
        <v>0</v>
      </c>
      <c r="K68" s="36">
        <f t="shared" ref="K68:K74" si="32">ROUND(I68+J68,2)</f>
        <v>0</v>
      </c>
      <c r="L68" s="36">
        <f t="shared" ref="L68:L74" si="33">ROUND((I68+J68)*30,2)</f>
        <v>0</v>
      </c>
    </row>
    <row r="69" spans="1:13" s="92" customFormat="1" ht="24" x14ac:dyDescent="0.2">
      <c r="A69" s="38" t="s">
        <v>37</v>
      </c>
      <c r="B69" s="109" t="s">
        <v>212</v>
      </c>
      <c r="C69" s="110" t="s">
        <v>77</v>
      </c>
      <c r="D69" s="111">
        <v>1</v>
      </c>
      <c r="E69" s="48">
        <f t="shared" si="31"/>
        <v>30</v>
      </c>
      <c r="F69" s="112" t="s">
        <v>18</v>
      </c>
      <c r="G69" s="113"/>
      <c r="H69" s="61"/>
      <c r="I69" s="61">
        <f t="shared" si="29"/>
        <v>0</v>
      </c>
      <c r="J69" s="61">
        <f t="shared" si="30"/>
        <v>0</v>
      </c>
      <c r="K69" s="61">
        <f t="shared" si="32"/>
        <v>0</v>
      </c>
      <c r="L69" s="36">
        <f t="shared" si="33"/>
        <v>0</v>
      </c>
    </row>
    <row r="70" spans="1:13" ht="24" x14ac:dyDescent="0.2">
      <c r="A70" s="38" t="s">
        <v>111</v>
      </c>
      <c r="B70" s="99" t="s">
        <v>213</v>
      </c>
      <c r="C70" s="37" t="s">
        <v>159</v>
      </c>
      <c r="D70" s="48">
        <v>1</v>
      </c>
      <c r="E70" s="48">
        <f t="shared" si="31"/>
        <v>30</v>
      </c>
      <c r="F70" s="35" t="s">
        <v>18</v>
      </c>
      <c r="G70" s="43"/>
      <c r="H70" s="36"/>
      <c r="I70" s="36">
        <f t="shared" si="29"/>
        <v>0</v>
      </c>
      <c r="J70" s="36">
        <f t="shared" si="30"/>
        <v>0</v>
      </c>
      <c r="K70" s="36">
        <f t="shared" si="32"/>
        <v>0</v>
      </c>
      <c r="L70" s="36">
        <f t="shared" si="33"/>
        <v>0</v>
      </c>
    </row>
    <row r="71" spans="1:13" ht="24" x14ac:dyDescent="0.2">
      <c r="A71" s="38" t="s">
        <v>404</v>
      </c>
      <c r="B71" s="99" t="s">
        <v>214</v>
      </c>
      <c r="C71" s="37" t="s">
        <v>90</v>
      </c>
      <c r="D71" s="48">
        <v>1</v>
      </c>
      <c r="E71" s="48">
        <f t="shared" si="31"/>
        <v>30</v>
      </c>
      <c r="F71" s="35" t="s">
        <v>18</v>
      </c>
      <c r="G71" s="43"/>
      <c r="H71" s="36"/>
      <c r="I71" s="36">
        <f t="shared" si="29"/>
        <v>0</v>
      </c>
      <c r="J71" s="36">
        <f t="shared" si="30"/>
        <v>0</v>
      </c>
      <c r="K71" s="36">
        <f t="shared" si="32"/>
        <v>0</v>
      </c>
      <c r="L71" s="36">
        <f t="shared" si="33"/>
        <v>0</v>
      </c>
    </row>
    <row r="72" spans="1:13" ht="24" x14ac:dyDescent="0.2">
      <c r="A72" s="38" t="s">
        <v>112</v>
      </c>
      <c r="B72" s="99" t="s">
        <v>215</v>
      </c>
      <c r="C72" s="37" t="s">
        <v>91</v>
      </c>
      <c r="D72" s="48">
        <v>1</v>
      </c>
      <c r="E72" s="48">
        <f t="shared" si="31"/>
        <v>30</v>
      </c>
      <c r="F72" s="35" t="s">
        <v>18</v>
      </c>
      <c r="G72" s="43"/>
      <c r="H72" s="36"/>
      <c r="I72" s="36">
        <f t="shared" si="29"/>
        <v>0</v>
      </c>
      <c r="J72" s="36">
        <f t="shared" si="30"/>
        <v>0</v>
      </c>
      <c r="K72" s="36">
        <f t="shared" si="32"/>
        <v>0</v>
      </c>
      <c r="L72" s="36">
        <f t="shared" si="33"/>
        <v>0</v>
      </c>
    </row>
    <row r="73" spans="1:13" ht="24" x14ac:dyDescent="0.2">
      <c r="A73" s="38" t="s">
        <v>113</v>
      </c>
      <c r="B73" s="99" t="s">
        <v>216</v>
      </c>
      <c r="C73" s="37" t="s">
        <v>78</v>
      </c>
      <c r="D73" s="48">
        <v>1</v>
      </c>
      <c r="E73" s="48">
        <f t="shared" si="31"/>
        <v>30</v>
      </c>
      <c r="F73" s="35" t="s">
        <v>18</v>
      </c>
      <c r="G73" s="43"/>
      <c r="H73" s="36"/>
      <c r="I73" s="36">
        <f t="shared" si="29"/>
        <v>0</v>
      </c>
      <c r="J73" s="36">
        <f t="shared" si="30"/>
        <v>0</v>
      </c>
      <c r="K73" s="36">
        <f t="shared" si="32"/>
        <v>0</v>
      </c>
      <c r="L73" s="36">
        <f t="shared" si="33"/>
        <v>0</v>
      </c>
    </row>
    <row r="74" spans="1:13" ht="24" x14ac:dyDescent="0.2">
      <c r="A74" s="38" t="s">
        <v>114</v>
      </c>
      <c r="B74" s="99" t="s">
        <v>217</v>
      </c>
      <c r="C74" s="37" t="s">
        <v>79</v>
      </c>
      <c r="D74" s="48">
        <v>1</v>
      </c>
      <c r="E74" s="48">
        <f t="shared" si="31"/>
        <v>30</v>
      </c>
      <c r="F74" s="35" t="s">
        <v>18</v>
      </c>
      <c r="G74" s="43"/>
      <c r="H74" s="36"/>
      <c r="I74" s="36">
        <f t="shared" si="29"/>
        <v>0</v>
      </c>
      <c r="J74" s="36">
        <f t="shared" si="30"/>
        <v>0</v>
      </c>
      <c r="K74" s="36">
        <f t="shared" si="32"/>
        <v>0</v>
      </c>
      <c r="L74" s="36">
        <f t="shared" si="33"/>
        <v>0</v>
      </c>
    </row>
    <row r="75" spans="1:13" s="54" customFormat="1" x14ac:dyDescent="0.2">
      <c r="A75" s="23"/>
      <c r="B75" s="100"/>
      <c r="C75" s="47"/>
      <c r="D75" s="23"/>
      <c r="E75" s="23"/>
      <c r="G75" s="55"/>
      <c r="H75" s="56"/>
      <c r="I75" s="56"/>
      <c r="J75" s="56" t="s">
        <v>125</v>
      </c>
      <c r="K75" s="56">
        <f>SUM(K67:K74)</f>
        <v>0</v>
      </c>
      <c r="L75" s="56">
        <f>SUM(L67:L74)</f>
        <v>0</v>
      </c>
      <c r="M75" s="96"/>
    </row>
    <row r="76" spans="1:13" s="116" customFormat="1" x14ac:dyDescent="0.2">
      <c r="A76" s="103" t="s">
        <v>160</v>
      </c>
      <c r="B76" s="104"/>
      <c r="C76" s="105" t="s">
        <v>38</v>
      </c>
      <c r="D76" s="114"/>
      <c r="E76" s="114"/>
      <c r="F76" s="108"/>
      <c r="G76" s="115"/>
      <c r="H76" s="58"/>
      <c r="I76" s="58"/>
      <c r="J76" s="58"/>
      <c r="K76" s="58"/>
      <c r="L76" s="58"/>
    </row>
    <row r="77" spans="1:13" ht="24" x14ac:dyDescent="0.2">
      <c r="A77" s="38" t="s">
        <v>48</v>
      </c>
      <c r="B77" s="99" t="s">
        <v>218</v>
      </c>
      <c r="C77" s="37" t="s">
        <v>201</v>
      </c>
      <c r="D77" s="48">
        <v>1</v>
      </c>
      <c r="E77" s="48">
        <f>ROUND(D77*30,2)</f>
        <v>30</v>
      </c>
      <c r="F77" s="35" t="s">
        <v>18</v>
      </c>
      <c r="G77" s="43"/>
      <c r="H77" s="61"/>
      <c r="I77" s="36">
        <f t="shared" ref="I77:I85" si="34">ROUND(G77*D77,2)</f>
        <v>0</v>
      </c>
      <c r="J77" s="36">
        <f t="shared" ref="J77:J98" si="35">ROUND(H77*D77,2)</f>
        <v>0</v>
      </c>
      <c r="K77" s="36">
        <f>ROUND(I77+J77,2)</f>
        <v>0</v>
      </c>
      <c r="L77" s="36">
        <f>ROUND((I77+J77)*30,2)</f>
        <v>0</v>
      </c>
    </row>
    <row r="78" spans="1:13" ht="24" x14ac:dyDescent="0.2">
      <c r="A78" s="38" t="s">
        <v>49</v>
      </c>
      <c r="B78" s="99" t="s">
        <v>219</v>
      </c>
      <c r="C78" s="37" t="s">
        <v>121</v>
      </c>
      <c r="D78" s="48">
        <v>1</v>
      </c>
      <c r="E78" s="48">
        <f t="shared" ref="E78:E98" si="36">ROUND(D78*30,2)</f>
        <v>30</v>
      </c>
      <c r="F78" s="35" t="s">
        <v>18</v>
      </c>
      <c r="G78" s="43"/>
      <c r="H78" s="61"/>
      <c r="I78" s="36">
        <f t="shared" si="34"/>
        <v>0</v>
      </c>
      <c r="J78" s="36">
        <f t="shared" si="35"/>
        <v>0</v>
      </c>
      <c r="K78" s="36">
        <f t="shared" ref="K78:K98" si="37">ROUND(I78+J78,2)</f>
        <v>0</v>
      </c>
      <c r="L78" s="36">
        <f t="shared" ref="L78:L98" si="38">ROUND((I78+J78)*30,2)</f>
        <v>0</v>
      </c>
    </row>
    <row r="79" spans="1:13" ht="24" x14ac:dyDescent="0.2">
      <c r="A79" s="38" t="s">
        <v>115</v>
      </c>
      <c r="B79" s="99" t="s">
        <v>220</v>
      </c>
      <c r="C79" s="37" t="s">
        <v>200</v>
      </c>
      <c r="D79" s="48">
        <v>4</v>
      </c>
      <c r="E79" s="48">
        <f t="shared" si="36"/>
        <v>120</v>
      </c>
      <c r="F79" s="35" t="s">
        <v>18</v>
      </c>
      <c r="G79" s="43"/>
      <c r="H79" s="61"/>
      <c r="I79" s="36">
        <f t="shared" si="34"/>
        <v>0</v>
      </c>
      <c r="J79" s="36">
        <f t="shared" si="35"/>
        <v>0</v>
      </c>
      <c r="K79" s="36">
        <f t="shared" si="37"/>
        <v>0</v>
      </c>
      <c r="L79" s="36">
        <f t="shared" si="38"/>
        <v>0</v>
      </c>
    </row>
    <row r="80" spans="1:13" s="92" customFormat="1" ht="24" x14ac:dyDescent="0.2">
      <c r="A80" s="38" t="s">
        <v>161</v>
      </c>
      <c r="B80" s="99" t="s">
        <v>391</v>
      </c>
      <c r="C80" s="37" t="s">
        <v>390</v>
      </c>
      <c r="D80" s="48">
        <v>7</v>
      </c>
      <c r="E80" s="48">
        <f t="shared" si="36"/>
        <v>210</v>
      </c>
      <c r="F80" s="35" t="s">
        <v>18</v>
      </c>
      <c r="G80" s="89"/>
      <c r="H80" s="90"/>
      <c r="I80" s="90">
        <f t="shared" si="34"/>
        <v>0</v>
      </c>
      <c r="J80" s="90">
        <f t="shared" si="35"/>
        <v>0</v>
      </c>
      <c r="K80" s="90">
        <f t="shared" si="37"/>
        <v>0</v>
      </c>
      <c r="L80" s="36">
        <f t="shared" si="38"/>
        <v>0</v>
      </c>
    </row>
    <row r="81" spans="1:12" ht="24" x14ac:dyDescent="0.2">
      <c r="A81" s="38" t="s">
        <v>334</v>
      </c>
      <c r="B81" s="99" t="s">
        <v>388</v>
      </c>
      <c r="C81" s="37" t="s">
        <v>389</v>
      </c>
      <c r="D81" s="48">
        <v>7</v>
      </c>
      <c r="E81" s="48">
        <f t="shared" si="36"/>
        <v>210</v>
      </c>
      <c r="F81" s="35" t="s">
        <v>18</v>
      </c>
      <c r="G81" s="43"/>
      <c r="H81" s="61"/>
      <c r="I81" s="36">
        <f t="shared" si="34"/>
        <v>0</v>
      </c>
      <c r="J81" s="36">
        <f t="shared" si="35"/>
        <v>0</v>
      </c>
      <c r="K81" s="36">
        <f t="shared" si="37"/>
        <v>0</v>
      </c>
      <c r="L81" s="36">
        <f t="shared" si="38"/>
        <v>0</v>
      </c>
    </row>
    <row r="82" spans="1:12" ht="24" x14ac:dyDescent="0.2">
      <c r="A82" s="38" t="s">
        <v>162</v>
      </c>
      <c r="B82" s="99" t="s">
        <v>221</v>
      </c>
      <c r="C82" s="37" t="s">
        <v>202</v>
      </c>
      <c r="D82" s="48">
        <v>17</v>
      </c>
      <c r="E82" s="48">
        <f t="shared" si="36"/>
        <v>510</v>
      </c>
      <c r="F82" s="35" t="s">
        <v>18</v>
      </c>
      <c r="G82" s="43"/>
      <c r="H82" s="61"/>
      <c r="I82" s="36">
        <f t="shared" si="34"/>
        <v>0</v>
      </c>
      <c r="J82" s="36">
        <f t="shared" si="35"/>
        <v>0</v>
      </c>
      <c r="K82" s="36">
        <f t="shared" si="37"/>
        <v>0</v>
      </c>
      <c r="L82" s="36">
        <f t="shared" si="38"/>
        <v>0</v>
      </c>
    </row>
    <row r="83" spans="1:12" ht="24" x14ac:dyDescent="0.2">
      <c r="A83" s="38" t="s">
        <v>163</v>
      </c>
      <c r="B83" s="99" t="s">
        <v>222</v>
      </c>
      <c r="C83" s="37" t="s">
        <v>289</v>
      </c>
      <c r="D83" s="48">
        <v>1</v>
      </c>
      <c r="E83" s="48">
        <f t="shared" si="36"/>
        <v>30</v>
      </c>
      <c r="F83" s="35" t="s">
        <v>18</v>
      </c>
      <c r="G83" s="43"/>
      <c r="H83" s="61"/>
      <c r="I83" s="36">
        <f t="shared" si="34"/>
        <v>0</v>
      </c>
      <c r="J83" s="36">
        <f t="shared" si="35"/>
        <v>0</v>
      </c>
      <c r="K83" s="36">
        <f t="shared" si="37"/>
        <v>0</v>
      </c>
      <c r="L83" s="36">
        <f t="shared" si="38"/>
        <v>0</v>
      </c>
    </row>
    <row r="84" spans="1:12" ht="24" x14ac:dyDescent="0.2">
      <c r="A84" s="38" t="s">
        <v>164</v>
      </c>
      <c r="B84" s="99" t="s">
        <v>223</v>
      </c>
      <c r="C84" s="37" t="s">
        <v>93</v>
      </c>
      <c r="D84" s="48">
        <v>2</v>
      </c>
      <c r="E84" s="48">
        <f t="shared" si="36"/>
        <v>60</v>
      </c>
      <c r="F84" s="35" t="s">
        <v>18</v>
      </c>
      <c r="G84" s="43"/>
      <c r="H84" s="61"/>
      <c r="I84" s="36">
        <f t="shared" si="34"/>
        <v>0</v>
      </c>
      <c r="J84" s="36">
        <f t="shared" si="35"/>
        <v>0</v>
      </c>
      <c r="K84" s="36">
        <f t="shared" si="37"/>
        <v>0</v>
      </c>
      <c r="L84" s="36">
        <f t="shared" si="38"/>
        <v>0</v>
      </c>
    </row>
    <row r="85" spans="1:12" s="87" customFormat="1" ht="24" x14ac:dyDescent="0.2">
      <c r="A85" s="38" t="s">
        <v>165</v>
      </c>
      <c r="B85" s="101" t="s">
        <v>318</v>
      </c>
      <c r="C85" s="82" t="s">
        <v>203</v>
      </c>
      <c r="D85" s="83">
        <v>5</v>
      </c>
      <c r="E85" s="48">
        <f t="shared" si="36"/>
        <v>150</v>
      </c>
      <c r="F85" s="81" t="s">
        <v>18</v>
      </c>
      <c r="G85" s="84"/>
      <c r="H85" s="85"/>
      <c r="I85" s="36">
        <f t="shared" si="34"/>
        <v>0</v>
      </c>
      <c r="J85" s="86">
        <f t="shared" si="35"/>
        <v>0</v>
      </c>
      <c r="K85" s="86">
        <f t="shared" si="37"/>
        <v>0</v>
      </c>
      <c r="L85" s="36">
        <f t="shared" si="38"/>
        <v>0</v>
      </c>
    </row>
    <row r="86" spans="1:12" s="87" customFormat="1" ht="24" x14ac:dyDescent="0.2">
      <c r="A86" s="38" t="s">
        <v>166</v>
      </c>
      <c r="B86" s="101" t="s">
        <v>395</v>
      </c>
      <c r="C86" s="82" t="s">
        <v>396</v>
      </c>
      <c r="D86" s="83">
        <v>1</v>
      </c>
      <c r="E86" s="48">
        <f t="shared" si="36"/>
        <v>30</v>
      </c>
      <c r="F86" s="81" t="s">
        <v>208</v>
      </c>
      <c r="G86" s="84"/>
      <c r="H86" s="85"/>
      <c r="I86" s="86">
        <f>H86+G86</f>
        <v>0</v>
      </c>
      <c r="J86" s="86">
        <f t="shared" si="35"/>
        <v>0</v>
      </c>
      <c r="K86" s="86">
        <f>J86+I86</f>
        <v>0</v>
      </c>
      <c r="L86" s="36">
        <f t="shared" si="38"/>
        <v>0</v>
      </c>
    </row>
    <row r="87" spans="1:12" ht="24" x14ac:dyDescent="0.2">
      <c r="A87" s="38" t="s">
        <v>335</v>
      </c>
      <c r="B87" s="99" t="s">
        <v>224</v>
      </c>
      <c r="C87" s="37" t="s">
        <v>204</v>
      </c>
      <c r="D87" s="48">
        <v>1</v>
      </c>
      <c r="E87" s="48">
        <f t="shared" si="36"/>
        <v>30</v>
      </c>
      <c r="F87" s="35" t="s">
        <v>18</v>
      </c>
      <c r="G87" s="43"/>
      <c r="H87" s="61"/>
      <c r="I87" s="36">
        <f t="shared" ref="I87:I98" si="39">ROUND(G87*D87,2)</f>
        <v>0</v>
      </c>
      <c r="J87" s="36">
        <f t="shared" si="35"/>
        <v>0</v>
      </c>
      <c r="K87" s="36">
        <f t="shared" si="37"/>
        <v>0</v>
      </c>
      <c r="L87" s="36">
        <f t="shared" si="38"/>
        <v>0</v>
      </c>
    </row>
    <row r="88" spans="1:12" ht="24" x14ac:dyDescent="0.2">
      <c r="A88" s="38" t="s">
        <v>167</v>
      </c>
      <c r="B88" s="99" t="s">
        <v>225</v>
      </c>
      <c r="C88" s="37" t="s">
        <v>94</v>
      </c>
      <c r="D88" s="48">
        <f>D82+D83+D84+D85</f>
        <v>25</v>
      </c>
      <c r="E88" s="48">
        <f t="shared" si="36"/>
        <v>750</v>
      </c>
      <c r="F88" s="35" t="s">
        <v>18</v>
      </c>
      <c r="G88" s="43"/>
      <c r="H88" s="61"/>
      <c r="I88" s="36">
        <f t="shared" si="39"/>
        <v>0</v>
      </c>
      <c r="J88" s="36">
        <f t="shared" si="35"/>
        <v>0</v>
      </c>
      <c r="K88" s="36">
        <f t="shared" si="37"/>
        <v>0</v>
      </c>
      <c r="L88" s="36">
        <f t="shared" si="38"/>
        <v>0</v>
      </c>
    </row>
    <row r="89" spans="1:12" ht="24" x14ac:dyDescent="0.2">
      <c r="A89" s="38" t="s">
        <v>168</v>
      </c>
      <c r="B89" s="99" t="s">
        <v>226</v>
      </c>
      <c r="C89" s="37" t="s">
        <v>95</v>
      </c>
      <c r="D89" s="48">
        <v>40.049999999999997</v>
      </c>
      <c r="E89" s="48">
        <f t="shared" si="36"/>
        <v>1201.5</v>
      </c>
      <c r="F89" s="35" t="s">
        <v>19</v>
      </c>
      <c r="G89" s="43"/>
      <c r="H89" s="61"/>
      <c r="I89" s="36">
        <f t="shared" si="39"/>
        <v>0</v>
      </c>
      <c r="J89" s="36">
        <f t="shared" si="35"/>
        <v>0</v>
      </c>
      <c r="K89" s="36">
        <f t="shared" si="37"/>
        <v>0</v>
      </c>
      <c r="L89" s="36">
        <f t="shared" si="38"/>
        <v>0</v>
      </c>
    </row>
    <row r="90" spans="1:12" ht="24" x14ac:dyDescent="0.2">
      <c r="A90" s="38" t="s">
        <v>169</v>
      </c>
      <c r="B90" s="99" t="s">
        <v>227</v>
      </c>
      <c r="C90" s="37" t="s">
        <v>96</v>
      </c>
      <c r="D90" s="48">
        <v>215</v>
      </c>
      <c r="E90" s="48">
        <f t="shared" si="36"/>
        <v>6450</v>
      </c>
      <c r="F90" s="35" t="s">
        <v>19</v>
      </c>
      <c r="G90" s="43"/>
      <c r="H90" s="61"/>
      <c r="I90" s="36">
        <f t="shared" si="39"/>
        <v>0</v>
      </c>
      <c r="J90" s="36">
        <f t="shared" si="35"/>
        <v>0</v>
      </c>
      <c r="K90" s="36">
        <f t="shared" si="37"/>
        <v>0</v>
      </c>
      <c r="L90" s="36">
        <f t="shared" si="38"/>
        <v>0</v>
      </c>
    </row>
    <row r="91" spans="1:12" ht="24" x14ac:dyDescent="0.2">
      <c r="A91" s="38" t="s">
        <v>170</v>
      </c>
      <c r="B91" s="99" t="s">
        <v>319</v>
      </c>
      <c r="C91" s="37" t="s">
        <v>97</v>
      </c>
      <c r="D91" s="48">
        <v>15</v>
      </c>
      <c r="E91" s="48">
        <f t="shared" si="36"/>
        <v>450</v>
      </c>
      <c r="F91" s="35" t="s">
        <v>19</v>
      </c>
      <c r="G91" s="43"/>
      <c r="H91" s="61"/>
      <c r="I91" s="36">
        <f t="shared" si="39"/>
        <v>0</v>
      </c>
      <c r="J91" s="36">
        <f t="shared" si="35"/>
        <v>0</v>
      </c>
      <c r="K91" s="36">
        <f t="shared" si="37"/>
        <v>0</v>
      </c>
      <c r="L91" s="36">
        <f t="shared" si="38"/>
        <v>0</v>
      </c>
    </row>
    <row r="92" spans="1:12" ht="24" x14ac:dyDescent="0.2">
      <c r="A92" s="38" t="s">
        <v>171</v>
      </c>
      <c r="B92" s="99" t="s">
        <v>228</v>
      </c>
      <c r="C92" s="37" t="s">
        <v>205</v>
      </c>
      <c r="D92" s="48">
        <v>30</v>
      </c>
      <c r="E92" s="48">
        <f t="shared" si="36"/>
        <v>900</v>
      </c>
      <c r="F92" s="35" t="s">
        <v>19</v>
      </c>
      <c r="G92" s="43"/>
      <c r="H92" s="61"/>
      <c r="I92" s="36">
        <f t="shared" si="39"/>
        <v>0</v>
      </c>
      <c r="J92" s="36">
        <f t="shared" si="35"/>
        <v>0</v>
      </c>
      <c r="K92" s="36">
        <f t="shared" si="37"/>
        <v>0</v>
      </c>
      <c r="L92" s="36">
        <f t="shared" si="38"/>
        <v>0</v>
      </c>
    </row>
    <row r="93" spans="1:12" ht="24" x14ac:dyDescent="0.2">
      <c r="A93" s="38" t="s">
        <v>294</v>
      </c>
      <c r="B93" s="99" t="s">
        <v>407</v>
      </c>
      <c r="C93" s="37" t="s">
        <v>397</v>
      </c>
      <c r="D93" s="48">
        <v>70</v>
      </c>
      <c r="E93" s="48">
        <f t="shared" si="36"/>
        <v>2100</v>
      </c>
      <c r="F93" s="35" t="s">
        <v>19</v>
      </c>
      <c r="G93" s="43"/>
      <c r="H93" s="61"/>
      <c r="I93" s="36">
        <f t="shared" si="39"/>
        <v>0</v>
      </c>
      <c r="J93" s="36">
        <f t="shared" si="35"/>
        <v>0</v>
      </c>
      <c r="K93" s="36">
        <f t="shared" si="37"/>
        <v>0</v>
      </c>
      <c r="L93" s="36">
        <f t="shared" si="38"/>
        <v>0</v>
      </c>
    </row>
    <row r="94" spans="1:12" ht="24" x14ac:dyDescent="0.2">
      <c r="A94" s="38" t="s">
        <v>295</v>
      </c>
      <c r="B94" s="99" t="s">
        <v>229</v>
      </c>
      <c r="C94" s="37" t="s">
        <v>206</v>
      </c>
      <c r="D94" s="48">
        <v>2</v>
      </c>
      <c r="E94" s="48">
        <f t="shared" si="36"/>
        <v>60</v>
      </c>
      <c r="F94" s="35" t="s">
        <v>208</v>
      </c>
      <c r="G94" s="43"/>
      <c r="H94" s="61"/>
      <c r="I94" s="36">
        <f t="shared" si="39"/>
        <v>0</v>
      </c>
      <c r="J94" s="36">
        <f t="shared" si="35"/>
        <v>0</v>
      </c>
      <c r="K94" s="36">
        <f t="shared" si="37"/>
        <v>0</v>
      </c>
      <c r="L94" s="36">
        <f t="shared" si="38"/>
        <v>0</v>
      </c>
    </row>
    <row r="95" spans="1:12" ht="24" x14ac:dyDescent="0.2">
      <c r="A95" s="38" t="s">
        <v>296</v>
      </c>
      <c r="B95" s="99" t="s">
        <v>316</v>
      </c>
      <c r="C95" s="37" t="s">
        <v>207</v>
      </c>
      <c r="D95" s="48">
        <v>24</v>
      </c>
      <c r="E95" s="48">
        <f t="shared" si="36"/>
        <v>720</v>
      </c>
      <c r="F95" s="35" t="s">
        <v>208</v>
      </c>
      <c r="G95" s="43"/>
      <c r="H95" s="61"/>
      <c r="I95" s="36">
        <f t="shared" si="39"/>
        <v>0</v>
      </c>
      <c r="J95" s="36">
        <f t="shared" si="35"/>
        <v>0</v>
      </c>
      <c r="K95" s="36">
        <f t="shared" si="37"/>
        <v>0</v>
      </c>
      <c r="L95" s="36">
        <f t="shared" si="38"/>
        <v>0</v>
      </c>
    </row>
    <row r="96" spans="1:12" ht="24" x14ac:dyDescent="0.2">
      <c r="A96" s="38" t="s">
        <v>297</v>
      </c>
      <c r="B96" s="99" t="s">
        <v>332</v>
      </c>
      <c r="C96" s="37" t="s">
        <v>333</v>
      </c>
      <c r="D96" s="93">
        <v>1</v>
      </c>
      <c r="E96" s="48">
        <f t="shared" si="36"/>
        <v>30</v>
      </c>
      <c r="F96" s="35" t="s">
        <v>208</v>
      </c>
      <c r="G96" s="43"/>
      <c r="H96" s="61"/>
      <c r="I96" s="36">
        <f t="shared" si="39"/>
        <v>0</v>
      </c>
      <c r="J96" s="36">
        <f t="shared" si="35"/>
        <v>0</v>
      </c>
      <c r="K96" s="36">
        <f t="shared" si="37"/>
        <v>0</v>
      </c>
      <c r="L96" s="36">
        <f t="shared" si="38"/>
        <v>0</v>
      </c>
    </row>
    <row r="97" spans="1:13" ht="24" x14ac:dyDescent="0.2">
      <c r="A97" s="38" t="s">
        <v>405</v>
      </c>
      <c r="B97" s="99" t="s">
        <v>237</v>
      </c>
      <c r="C97" s="37" t="s">
        <v>317</v>
      </c>
      <c r="D97" s="48">
        <v>1</v>
      </c>
      <c r="E97" s="48">
        <f t="shared" si="36"/>
        <v>30</v>
      </c>
      <c r="F97" s="35" t="s">
        <v>208</v>
      </c>
      <c r="G97" s="43"/>
      <c r="H97" s="61"/>
      <c r="I97" s="36">
        <f t="shared" si="39"/>
        <v>0</v>
      </c>
      <c r="J97" s="36">
        <f t="shared" si="35"/>
        <v>0</v>
      </c>
      <c r="K97" s="36">
        <f t="shared" si="37"/>
        <v>0</v>
      </c>
      <c r="L97" s="36">
        <f t="shared" si="38"/>
        <v>0</v>
      </c>
    </row>
    <row r="98" spans="1:13" ht="24" x14ac:dyDescent="0.2">
      <c r="A98" s="38" t="s">
        <v>406</v>
      </c>
      <c r="B98" s="99" t="s">
        <v>230</v>
      </c>
      <c r="C98" s="37" t="s">
        <v>98</v>
      </c>
      <c r="D98" s="48">
        <v>3</v>
      </c>
      <c r="E98" s="48">
        <f t="shared" si="36"/>
        <v>90</v>
      </c>
      <c r="F98" s="35" t="s">
        <v>42</v>
      </c>
      <c r="G98" s="43"/>
      <c r="H98" s="61"/>
      <c r="I98" s="36">
        <f t="shared" si="39"/>
        <v>0</v>
      </c>
      <c r="J98" s="36">
        <f t="shared" si="35"/>
        <v>0</v>
      </c>
      <c r="K98" s="36">
        <f t="shared" si="37"/>
        <v>0</v>
      </c>
      <c r="L98" s="36">
        <f t="shared" si="38"/>
        <v>0</v>
      </c>
    </row>
    <row r="99" spans="1:13" s="54" customFormat="1" x14ac:dyDescent="0.2">
      <c r="A99" s="41"/>
      <c r="B99" s="102"/>
      <c r="C99" s="47"/>
      <c r="D99" s="53"/>
      <c r="E99" s="53"/>
      <c r="F99" s="41"/>
      <c r="G99" s="57"/>
      <c r="H99" s="32"/>
      <c r="I99" s="56"/>
      <c r="J99" s="56" t="s">
        <v>125</v>
      </c>
      <c r="K99" s="56">
        <f>SUM(K77:K98)</f>
        <v>0</v>
      </c>
      <c r="L99" s="56">
        <f>SUM(L77:L98)</f>
        <v>0</v>
      </c>
      <c r="M99" s="96"/>
    </row>
    <row r="100" spans="1:13" s="92" customFormat="1" x14ac:dyDescent="0.2">
      <c r="A100" s="41" t="s">
        <v>116</v>
      </c>
      <c r="B100" s="52"/>
      <c r="C100" s="47" t="s">
        <v>39</v>
      </c>
      <c r="D100" s="49"/>
      <c r="E100" s="49"/>
      <c r="F100" s="38"/>
      <c r="G100" s="94"/>
      <c r="H100" s="95"/>
      <c r="I100" s="95"/>
      <c r="J100" s="95"/>
      <c r="K100" s="95"/>
      <c r="L100" s="95"/>
    </row>
    <row r="101" spans="1:13" ht="24" x14ac:dyDescent="0.2">
      <c r="A101" s="38" t="s">
        <v>117</v>
      </c>
      <c r="B101" s="99" t="s">
        <v>231</v>
      </c>
      <c r="C101" s="37" t="s">
        <v>43</v>
      </c>
      <c r="D101" s="48">
        <v>31.5</v>
      </c>
      <c r="E101" s="48">
        <f>ROUND(D101*30,2)</f>
        <v>945</v>
      </c>
      <c r="F101" s="35" t="s">
        <v>19</v>
      </c>
      <c r="G101" s="43"/>
      <c r="H101" s="61"/>
      <c r="I101" s="36">
        <f t="shared" ref="I101:I123" si="40">ROUND(G101*D101,2)</f>
        <v>0</v>
      </c>
      <c r="J101" s="36">
        <f t="shared" ref="J101:J123" si="41">ROUND(H101*D101,2)</f>
        <v>0</v>
      </c>
      <c r="K101" s="36">
        <f>ROUND(I101+J101,2)</f>
        <v>0</v>
      </c>
      <c r="L101" s="36">
        <f>ROUND((I101+J101)*30,2)</f>
        <v>0</v>
      </c>
    </row>
    <row r="102" spans="1:13" ht="24" x14ac:dyDescent="0.2">
      <c r="A102" s="38" t="s">
        <v>118</v>
      </c>
      <c r="B102" s="99" t="s">
        <v>232</v>
      </c>
      <c r="C102" s="37" t="s">
        <v>64</v>
      </c>
      <c r="D102" s="48">
        <v>6</v>
      </c>
      <c r="E102" s="48">
        <f t="shared" ref="E102:E123" si="42">ROUND(D102*30,2)</f>
        <v>180</v>
      </c>
      <c r="F102" s="35" t="s">
        <v>19</v>
      </c>
      <c r="G102" s="43"/>
      <c r="H102" s="61"/>
      <c r="I102" s="36">
        <f t="shared" si="40"/>
        <v>0</v>
      </c>
      <c r="J102" s="36">
        <f t="shared" si="41"/>
        <v>0</v>
      </c>
      <c r="K102" s="36">
        <f t="shared" ref="K102:K123" si="43">ROUND(I102+J102,2)</f>
        <v>0</v>
      </c>
      <c r="L102" s="36">
        <f t="shared" ref="L102:L123" si="44">ROUND((I102+J102)*30,2)</f>
        <v>0</v>
      </c>
    </row>
    <row r="103" spans="1:13" ht="24" x14ac:dyDescent="0.2">
      <c r="A103" s="38" t="s">
        <v>172</v>
      </c>
      <c r="B103" s="99" t="s">
        <v>233</v>
      </c>
      <c r="C103" s="37" t="s">
        <v>66</v>
      </c>
      <c r="D103" s="48">
        <v>4</v>
      </c>
      <c r="E103" s="48">
        <f t="shared" si="42"/>
        <v>120</v>
      </c>
      <c r="F103" s="35" t="s">
        <v>18</v>
      </c>
      <c r="G103" s="43"/>
      <c r="H103" s="61"/>
      <c r="I103" s="36">
        <f t="shared" si="40"/>
        <v>0</v>
      </c>
      <c r="J103" s="36">
        <f t="shared" si="41"/>
        <v>0</v>
      </c>
      <c r="K103" s="36">
        <f t="shared" si="43"/>
        <v>0</v>
      </c>
      <c r="L103" s="36">
        <f t="shared" si="44"/>
        <v>0</v>
      </c>
    </row>
    <row r="104" spans="1:13" ht="24" x14ac:dyDescent="0.2">
      <c r="A104" s="38" t="s">
        <v>173</v>
      </c>
      <c r="B104" s="99" t="s">
        <v>234</v>
      </c>
      <c r="C104" s="37" t="s">
        <v>99</v>
      </c>
      <c r="D104" s="48">
        <v>15</v>
      </c>
      <c r="E104" s="48">
        <f t="shared" si="42"/>
        <v>450</v>
      </c>
      <c r="F104" s="35" t="s">
        <v>18</v>
      </c>
      <c r="G104" s="89"/>
      <c r="H104" s="90"/>
      <c r="I104" s="90">
        <f t="shared" si="40"/>
        <v>0</v>
      </c>
      <c r="J104" s="90">
        <f t="shared" si="41"/>
        <v>0</v>
      </c>
      <c r="K104" s="90">
        <f t="shared" si="43"/>
        <v>0</v>
      </c>
      <c r="L104" s="36">
        <f t="shared" si="44"/>
        <v>0</v>
      </c>
    </row>
    <row r="105" spans="1:13" ht="24" x14ac:dyDescent="0.2">
      <c r="A105" s="38" t="s">
        <v>174</v>
      </c>
      <c r="B105" s="99" t="s">
        <v>336</v>
      </c>
      <c r="C105" s="37" t="s">
        <v>67</v>
      </c>
      <c r="D105" s="48">
        <v>4</v>
      </c>
      <c r="E105" s="48">
        <f t="shared" si="42"/>
        <v>120</v>
      </c>
      <c r="F105" s="35" t="s">
        <v>18</v>
      </c>
      <c r="G105" s="43"/>
      <c r="H105" s="61"/>
      <c r="I105" s="36">
        <f t="shared" si="40"/>
        <v>0</v>
      </c>
      <c r="J105" s="36">
        <f t="shared" si="41"/>
        <v>0</v>
      </c>
      <c r="K105" s="36">
        <f t="shared" si="43"/>
        <v>0</v>
      </c>
      <c r="L105" s="36">
        <f t="shared" si="44"/>
        <v>0</v>
      </c>
    </row>
    <row r="106" spans="1:13" ht="24" x14ac:dyDescent="0.2">
      <c r="A106" s="38" t="s">
        <v>175</v>
      </c>
      <c r="B106" s="99" t="s">
        <v>339</v>
      </c>
      <c r="C106" s="37" t="s">
        <v>340</v>
      </c>
      <c r="D106" s="48">
        <v>6</v>
      </c>
      <c r="E106" s="48">
        <f t="shared" si="42"/>
        <v>180</v>
      </c>
      <c r="F106" s="35" t="s">
        <v>208</v>
      </c>
      <c r="G106" s="43"/>
      <c r="H106" s="61"/>
      <c r="I106" s="36">
        <f t="shared" si="40"/>
        <v>0</v>
      </c>
      <c r="J106" s="36">
        <f t="shared" si="41"/>
        <v>0</v>
      </c>
      <c r="K106" s="36">
        <f t="shared" si="43"/>
        <v>0</v>
      </c>
      <c r="L106" s="36">
        <f t="shared" si="44"/>
        <v>0</v>
      </c>
    </row>
    <row r="107" spans="1:13" ht="24" x14ac:dyDescent="0.2">
      <c r="A107" s="38" t="s">
        <v>176</v>
      </c>
      <c r="B107" s="99" t="s">
        <v>351</v>
      </c>
      <c r="C107" s="37" t="s">
        <v>352</v>
      </c>
      <c r="D107" s="48">
        <v>5</v>
      </c>
      <c r="E107" s="48">
        <f t="shared" si="42"/>
        <v>150</v>
      </c>
      <c r="F107" s="35" t="s">
        <v>208</v>
      </c>
      <c r="G107" s="43"/>
      <c r="H107" s="61"/>
      <c r="I107" s="36">
        <f t="shared" si="40"/>
        <v>0</v>
      </c>
      <c r="J107" s="36">
        <f t="shared" si="41"/>
        <v>0</v>
      </c>
      <c r="K107" s="36">
        <f t="shared" si="43"/>
        <v>0</v>
      </c>
      <c r="L107" s="36">
        <f t="shared" si="44"/>
        <v>0</v>
      </c>
    </row>
    <row r="108" spans="1:13" ht="24" x14ac:dyDescent="0.2">
      <c r="A108" s="38" t="s">
        <v>177</v>
      </c>
      <c r="B108" s="99" t="s">
        <v>325</v>
      </c>
      <c r="C108" s="37" t="s">
        <v>326</v>
      </c>
      <c r="D108" s="48">
        <v>1</v>
      </c>
      <c r="E108" s="48">
        <f t="shared" si="42"/>
        <v>30</v>
      </c>
      <c r="F108" s="35" t="s">
        <v>18</v>
      </c>
      <c r="G108" s="43"/>
      <c r="H108" s="61"/>
      <c r="I108" s="36">
        <f t="shared" si="40"/>
        <v>0</v>
      </c>
      <c r="J108" s="36">
        <f t="shared" si="41"/>
        <v>0</v>
      </c>
      <c r="K108" s="36">
        <f t="shared" si="43"/>
        <v>0</v>
      </c>
      <c r="L108" s="36">
        <f t="shared" si="44"/>
        <v>0</v>
      </c>
    </row>
    <row r="109" spans="1:13" s="92" customFormat="1" ht="24" x14ac:dyDescent="0.2">
      <c r="A109" s="38" t="s">
        <v>178</v>
      </c>
      <c r="B109" s="99" t="s">
        <v>235</v>
      </c>
      <c r="C109" s="37" t="s">
        <v>65</v>
      </c>
      <c r="D109" s="48">
        <v>1</v>
      </c>
      <c r="E109" s="48">
        <f t="shared" si="42"/>
        <v>30</v>
      </c>
      <c r="F109" s="35" t="s">
        <v>18</v>
      </c>
      <c r="G109" s="89"/>
      <c r="H109" s="90"/>
      <c r="I109" s="90">
        <f t="shared" si="40"/>
        <v>0</v>
      </c>
      <c r="J109" s="90">
        <f t="shared" si="41"/>
        <v>0</v>
      </c>
      <c r="K109" s="90">
        <f t="shared" si="43"/>
        <v>0</v>
      </c>
      <c r="L109" s="36">
        <f t="shared" si="44"/>
        <v>0</v>
      </c>
    </row>
    <row r="110" spans="1:13" s="92" customFormat="1" ht="24" x14ac:dyDescent="0.2">
      <c r="A110" s="38" t="s">
        <v>179</v>
      </c>
      <c r="B110" s="99" t="s">
        <v>342</v>
      </c>
      <c r="C110" s="37" t="s">
        <v>343</v>
      </c>
      <c r="D110" s="48">
        <v>1</v>
      </c>
      <c r="E110" s="48">
        <f t="shared" si="42"/>
        <v>30</v>
      </c>
      <c r="F110" s="35" t="s">
        <v>18</v>
      </c>
      <c r="G110" s="89"/>
      <c r="H110" s="90"/>
      <c r="I110" s="90">
        <f t="shared" si="40"/>
        <v>0</v>
      </c>
      <c r="J110" s="90">
        <f t="shared" si="41"/>
        <v>0</v>
      </c>
      <c r="K110" s="90">
        <f t="shared" si="43"/>
        <v>0</v>
      </c>
      <c r="L110" s="36">
        <f t="shared" si="44"/>
        <v>0</v>
      </c>
    </row>
    <row r="111" spans="1:13" s="92" customFormat="1" ht="24" x14ac:dyDescent="0.2">
      <c r="A111" s="38" t="s">
        <v>180</v>
      </c>
      <c r="B111" s="99" t="s">
        <v>344</v>
      </c>
      <c r="C111" s="37" t="s">
        <v>345</v>
      </c>
      <c r="D111" s="48">
        <v>1</v>
      </c>
      <c r="E111" s="48">
        <f t="shared" si="42"/>
        <v>30</v>
      </c>
      <c r="F111" s="35" t="s">
        <v>208</v>
      </c>
      <c r="G111" s="89"/>
      <c r="H111" s="90"/>
      <c r="I111" s="90">
        <f t="shared" si="40"/>
        <v>0</v>
      </c>
      <c r="J111" s="90">
        <f t="shared" si="41"/>
        <v>0</v>
      </c>
      <c r="K111" s="90">
        <f t="shared" si="43"/>
        <v>0</v>
      </c>
      <c r="L111" s="36">
        <f t="shared" si="44"/>
        <v>0</v>
      </c>
    </row>
    <row r="112" spans="1:13" s="92" customFormat="1" ht="24" x14ac:dyDescent="0.2">
      <c r="A112" s="38" t="s">
        <v>181</v>
      </c>
      <c r="B112" s="99" t="s">
        <v>346</v>
      </c>
      <c r="C112" s="37" t="s">
        <v>347</v>
      </c>
      <c r="D112" s="48">
        <v>1</v>
      </c>
      <c r="E112" s="48">
        <f t="shared" si="42"/>
        <v>30</v>
      </c>
      <c r="F112" s="35" t="s">
        <v>208</v>
      </c>
      <c r="G112" s="89"/>
      <c r="H112" s="90"/>
      <c r="I112" s="90">
        <f t="shared" si="40"/>
        <v>0</v>
      </c>
      <c r="J112" s="90">
        <f t="shared" si="41"/>
        <v>0</v>
      </c>
      <c r="K112" s="90">
        <f>ROUND(I112+J112,2)</f>
        <v>0</v>
      </c>
      <c r="L112" s="36">
        <f t="shared" si="44"/>
        <v>0</v>
      </c>
    </row>
    <row r="113" spans="1:13" s="92" customFormat="1" ht="24" x14ac:dyDescent="0.2">
      <c r="A113" s="38" t="s">
        <v>298</v>
      </c>
      <c r="B113" s="99" t="s">
        <v>330</v>
      </c>
      <c r="C113" s="37" t="s">
        <v>348</v>
      </c>
      <c r="D113" s="48">
        <v>1</v>
      </c>
      <c r="E113" s="48">
        <f t="shared" si="42"/>
        <v>30</v>
      </c>
      <c r="F113" s="35" t="s">
        <v>208</v>
      </c>
      <c r="G113" s="89"/>
      <c r="H113" s="90"/>
      <c r="I113" s="90">
        <f t="shared" si="40"/>
        <v>0</v>
      </c>
      <c r="J113" s="90">
        <f t="shared" si="41"/>
        <v>0</v>
      </c>
      <c r="K113" s="90">
        <f>ROUND(I113+J113,2)</f>
        <v>0</v>
      </c>
      <c r="L113" s="36">
        <f t="shared" si="44"/>
        <v>0</v>
      </c>
    </row>
    <row r="114" spans="1:13" ht="24" x14ac:dyDescent="0.2">
      <c r="A114" s="38" t="s">
        <v>299</v>
      </c>
      <c r="B114" s="99" t="s">
        <v>214</v>
      </c>
      <c r="C114" s="37" t="s">
        <v>100</v>
      </c>
      <c r="D114" s="48">
        <v>3</v>
      </c>
      <c r="E114" s="48">
        <f t="shared" si="42"/>
        <v>90</v>
      </c>
      <c r="F114" s="35" t="s">
        <v>18</v>
      </c>
      <c r="G114" s="43"/>
      <c r="H114" s="61"/>
      <c r="I114" s="36">
        <f t="shared" si="40"/>
        <v>0</v>
      </c>
      <c r="J114" s="36">
        <f t="shared" si="41"/>
        <v>0</v>
      </c>
      <c r="K114" s="36">
        <f t="shared" si="43"/>
        <v>0</v>
      </c>
      <c r="L114" s="36">
        <f t="shared" si="44"/>
        <v>0</v>
      </c>
    </row>
    <row r="115" spans="1:13" ht="24" x14ac:dyDescent="0.2">
      <c r="A115" s="38" t="s">
        <v>300</v>
      </c>
      <c r="B115" s="99" t="s">
        <v>236</v>
      </c>
      <c r="C115" s="37" t="s">
        <v>68</v>
      </c>
      <c r="D115" s="48">
        <v>1</v>
      </c>
      <c r="E115" s="48">
        <f t="shared" si="42"/>
        <v>30</v>
      </c>
      <c r="F115" s="35" t="s">
        <v>18</v>
      </c>
      <c r="G115" s="43"/>
      <c r="H115" s="61"/>
      <c r="I115" s="36">
        <f t="shared" si="40"/>
        <v>0</v>
      </c>
      <c r="J115" s="36">
        <f t="shared" si="41"/>
        <v>0</v>
      </c>
      <c r="K115" s="36">
        <f t="shared" si="43"/>
        <v>0</v>
      </c>
      <c r="L115" s="36">
        <f t="shared" si="44"/>
        <v>0</v>
      </c>
    </row>
    <row r="116" spans="1:13" ht="24" x14ac:dyDescent="0.2">
      <c r="A116" s="38" t="s">
        <v>301</v>
      </c>
      <c r="B116" s="99" t="s">
        <v>322</v>
      </c>
      <c r="C116" s="37" t="s">
        <v>69</v>
      </c>
      <c r="D116" s="48">
        <v>3</v>
      </c>
      <c r="E116" s="48">
        <f t="shared" si="42"/>
        <v>90</v>
      </c>
      <c r="F116" s="35" t="s">
        <v>18</v>
      </c>
      <c r="G116" s="89"/>
      <c r="H116" s="90"/>
      <c r="I116" s="90">
        <f t="shared" si="40"/>
        <v>0</v>
      </c>
      <c r="J116" s="90">
        <f t="shared" si="41"/>
        <v>0</v>
      </c>
      <c r="K116" s="90">
        <f t="shared" si="43"/>
        <v>0</v>
      </c>
      <c r="L116" s="36">
        <f t="shared" si="44"/>
        <v>0</v>
      </c>
    </row>
    <row r="117" spans="1:13" ht="24" x14ac:dyDescent="0.2">
      <c r="A117" s="38" t="s">
        <v>320</v>
      </c>
      <c r="B117" s="99" t="s">
        <v>321</v>
      </c>
      <c r="C117" s="37" t="s">
        <v>70</v>
      </c>
      <c r="D117" s="48">
        <v>1</v>
      </c>
      <c r="E117" s="48">
        <f t="shared" si="42"/>
        <v>30</v>
      </c>
      <c r="F117" s="35" t="s">
        <v>18</v>
      </c>
      <c r="G117" s="89"/>
      <c r="H117" s="90"/>
      <c r="I117" s="90">
        <f t="shared" si="40"/>
        <v>0</v>
      </c>
      <c r="J117" s="90">
        <f t="shared" si="41"/>
        <v>0</v>
      </c>
      <c r="K117" s="90">
        <f t="shared" si="43"/>
        <v>0</v>
      </c>
      <c r="L117" s="36">
        <f t="shared" si="44"/>
        <v>0</v>
      </c>
    </row>
    <row r="118" spans="1:13" ht="24" x14ac:dyDescent="0.2">
      <c r="A118" s="38" t="s">
        <v>327</v>
      </c>
      <c r="B118" s="99" t="s">
        <v>323</v>
      </c>
      <c r="C118" s="37" t="s">
        <v>324</v>
      </c>
      <c r="D118" s="48">
        <v>1</v>
      </c>
      <c r="E118" s="48">
        <f t="shared" si="42"/>
        <v>30</v>
      </c>
      <c r="F118" s="35" t="s">
        <v>208</v>
      </c>
      <c r="G118" s="89"/>
      <c r="H118" s="90"/>
      <c r="I118" s="90">
        <f t="shared" si="40"/>
        <v>0</v>
      </c>
      <c r="J118" s="90">
        <f t="shared" si="41"/>
        <v>0</v>
      </c>
      <c r="K118" s="90">
        <f t="shared" si="43"/>
        <v>0</v>
      </c>
      <c r="L118" s="36">
        <f t="shared" si="44"/>
        <v>0</v>
      </c>
    </row>
    <row r="119" spans="1:13" ht="24" x14ac:dyDescent="0.2">
      <c r="A119" s="38" t="s">
        <v>337</v>
      </c>
      <c r="B119" s="99" t="s">
        <v>325</v>
      </c>
      <c r="C119" s="37" t="s">
        <v>326</v>
      </c>
      <c r="D119" s="48">
        <v>1</v>
      </c>
      <c r="E119" s="48">
        <f t="shared" si="42"/>
        <v>30</v>
      </c>
      <c r="F119" s="35" t="s">
        <v>208</v>
      </c>
      <c r="G119" s="89"/>
      <c r="H119" s="90"/>
      <c r="I119" s="90">
        <f t="shared" si="40"/>
        <v>0</v>
      </c>
      <c r="J119" s="90">
        <f t="shared" si="41"/>
        <v>0</v>
      </c>
      <c r="K119" s="90">
        <f t="shared" si="43"/>
        <v>0</v>
      </c>
      <c r="L119" s="36">
        <f t="shared" si="44"/>
        <v>0</v>
      </c>
    </row>
    <row r="120" spans="1:13" ht="24" x14ac:dyDescent="0.2">
      <c r="A120" s="38" t="s">
        <v>338</v>
      </c>
      <c r="B120" s="99" t="s">
        <v>328</v>
      </c>
      <c r="C120" s="37" t="s">
        <v>329</v>
      </c>
      <c r="D120" s="48">
        <v>1</v>
      </c>
      <c r="E120" s="48">
        <f t="shared" si="42"/>
        <v>30</v>
      </c>
      <c r="F120" s="35" t="s">
        <v>208</v>
      </c>
      <c r="G120" s="89"/>
      <c r="H120" s="89"/>
      <c r="I120" s="90">
        <f t="shared" si="40"/>
        <v>0</v>
      </c>
      <c r="J120" s="90">
        <f t="shared" si="41"/>
        <v>0</v>
      </c>
      <c r="K120" s="90">
        <f t="shared" si="43"/>
        <v>0</v>
      </c>
      <c r="L120" s="36">
        <f t="shared" si="44"/>
        <v>0</v>
      </c>
    </row>
    <row r="121" spans="1:13" ht="24" x14ac:dyDescent="0.2">
      <c r="A121" s="38" t="s">
        <v>341</v>
      </c>
      <c r="B121" s="99" t="s">
        <v>330</v>
      </c>
      <c r="C121" s="37" t="s">
        <v>331</v>
      </c>
      <c r="D121" s="48">
        <v>1</v>
      </c>
      <c r="E121" s="48">
        <f t="shared" si="42"/>
        <v>30</v>
      </c>
      <c r="F121" s="35" t="s">
        <v>208</v>
      </c>
      <c r="G121" s="89"/>
      <c r="H121" s="89"/>
      <c r="I121" s="90">
        <f t="shared" si="40"/>
        <v>0</v>
      </c>
      <c r="J121" s="90">
        <f t="shared" si="41"/>
        <v>0</v>
      </c>
      <c r="K121" s="90">
        <f t="shared" si="43"/>
        <v>0</v>
      </c>
      <c r="L121" s="36">
        <f t="shared" si="44"/>
        <v>0</v>
      </c>
    </row>
    <row r="122" spans="1:13" ht="24" x14ac:dyDescent="0.2">
      <c r="A122" s="38" t="s">
        <v>349</v>
      </c>
      <c r="B122" s="99" t="s">
        <v>238</v>
      </c>
      <c r="C122" s="37" t="s">
        <v>101</v>
      </c>
      <c r="D122" s="48">
        <v>1</v>
      </c>
      <c r="E122" s="48">
        <f t="shared" si="42"/>
        <v>30</v>
      </c>
      <c r="F122" s="35" t="s">
        <v>18</v>
      </c>
      <c r="G122" s="43"/>
      <c r="H122" s="61"/>
      <c r="I122" s="36">
        <f t="shared" si="40"/>
        <v>0</v>
      </c>
      <c r="J122" s="36">
        <f t="shared" si="41"/>
        <v>0</v>
      </c>
      <c r="K122" s="36">
        <f t="shared" si="43"/>
        <v>0</v>
      </c>
      <c r="L122" s="36">
        <f t="shared" si="44"/>
        <v>0</v>
      </c>
    </row>
    <row r="123" spans="1:13" ht="24" x14ac:dyDescent="0.2">
      <c r="A123" s="38" t="s">
        <v>350</v>
      </c>
      <c r="B123" s="99" t="s">
        <v>239</v>
      </c>
      <c r="C123" s="37" t="s">
        <v>102</v>
      </c>
      <c r="D123" s="48">
        <v>1</v>
      </c>
      <c r="E123" s="48">
        <f t="shared" si="42"/>
        <v>30</v>
      </c>
      <c r="F123" s="35" t="s">
        <v>18</v>
      </c>
      <c r="G123" s="43"/>
      <c r="H123" s="61"/>
      <c r="I123" s="36">
        <f t="shared" si="40"/>
        <v>0</v>
      </c>
      <c r="J123" s="36">
        <f t="shared" si="41"/>
        <v>0</v>
      </c>
      <c r="K123" s="36">
        <f t="shared" si="43"/>
        <v>0</v>
      </c>
      <c r="L123" s="36">
        <f t="shared" si="44"/>
        <v>0</v>
      </c>
    </row>
    <row r="124" spans="1:13" s="54" customFormat="1" x14ac:dyDescent="0.2">
      <c r="A124" s="41"/>
      <c r="B124" s="102"/>
      <c r="C124" s="47"/>
      <c r="D124" s="53"/>
      <c r="E124" s="53"/>
      <c r="F124" s="41"/>
      <c r="G124" s="57"/>
      <c r="H124" s="32"/>
      <c r="I124" s="56"/>
      <c r="J124" s="56" t="s">
        <v>125</v>
      </c>
      <c r="K124" s="56">
        <f>SUM(K101:K123)</f>
        <v>0</v>
      </c>
      <c r="L124" s="56">
        <f>SUM(L101:L123)</f>
        <v>0</v>
      </c>
      <c r="M124" s="96"/>
    </row>
    <row r="125" spans="1:13" x14ac:dyDescent="0.2">
      <c r="A125" s="41" t="s">
        <v>182</v>
      </c>
      <c r="B125" s="52"/>
      <c r="C125" s="47" t="s">
        <v>40</v>
      </c>
      <c r="D125" s="49"/>
      <c r="E125" s="49"/>
      <c r="F125" s="38"/>
      <c r="G125" s="44"/>
      <c r="H125" s="58"/>
      <c r="I125" s="39"/>
      <c r="J125" s="39"/>
      <c r="K125" s="39"/>
      <c r="L125" s="39"/>
    </row>
    <row r="126" spans="1:13" ht="24" x14ac:dyDescent="0.2">
      <c r="A126" s="38" t="s">
        <v>183</v>
      </c>
      <c r="B126" s="99" t="s">
        <v>240</v>
      </c>
      <c r="C126" s="37" t="s">
        <v>104</v>
      </c>
      <c r="D126" s="48">
        <v>6</v>
      </c>
      <c r="E126" s="48">
        <f>ROUND(D126*30,2)</f>
        <v>180</v>
      </c>
      <c r="F126" s="35" t="s">
        <v>19</v>
      </c>
      <c r="G126" s="43"/>
      <c r="H126" s="61"/>
      <c r="I126" s="36">
        <f t="shared" ref="I126:I139" si="45">ROUND(G126*D126,2)</f>
        <v>0</v>
      </c>
      <c r="J126" s="36">
        <f t="shared" ref="J126:J143" si="46">ROUND(H126*D126,2)</f>
        <v>0</v>
      </c>
      <c r="K126" s="36">
        <f>ROUND(I126+J126,2)</f>
        <v>0</v>
      </c>
      <c r="L126" s="36">
        <f>ROUND((I126+J126)*30,2)</f>
        <v>0</v>
      </c>
    </row>
    <row r="127" spans="1:13" ht="24" x14ac:dyDescent="0.2">
      <c r="A127" s="38" t="s">
        <v>184</v>
      </c>
      <c r="B127" s="99" t="s">
        <v>241</v>
      </c>
      <c r="C127" s="37" t="s">
        <v>105</v>
      </c>
      <c r="D127" s="48">
        <v>6</v>
      </c>
      <c r="E127" s="48">
        <f t="shared" ref="E127:E143" si="47">ROUND(D127*30,2)</f>
        <v>180</v>
      </c>
      <c r="F127" s="35" t="s">
        <v>19</v>
      </c>
      <c r="G127" s="43"/>
      <c r="H127" s="61"/>
      <c r="I127" s="36">
        <f t="shared" si="45"/>
        <v>0</v>
      </c>
      <c r="J127" s="36">
        <f t="shared" si="46"/>
        <v>0</v>
      </c>
      <c r="K127" s="36">
        <f t="shared" ref="K127:K143" si="48">ROUND(I127+J127,2)</f>
        <v>0</v>
      </c>
      <c r="L127" s="36">
        <f t="shared" ref="L127:L143" si="49">ROUND((I127+J127)*30,2)</f>
        <v>0</v>
      </c>
    </row>
    <row r="128" spans="1:13" ht="24" x14ac:dyDescent="0.2">
      <c r="A128" s="38" t="s">
        <v>302</v>
      </c>
      <c r="B128" s="99" t="s">
        <v>354</v>
      </c>
      <c r="C128" s="37" t="s">
        <v>106</v>
      </c>
      <c r="D128" s="48">
        <v>31.5</v>
      </c>
      <c r="E128" s="48">
        <f t="shared" si="47"/>
        <v>945</v>
      </c>
      <c r="F128" s="35" t="s">
        <v>19</v>
      </c>
      <c r="G128" s="43"/>
      <c r="H128" s="61"/>
      <c r="I128" s="36">
        <f t="shared" si="45"/>
        <v>0</v>
      </c>
      <c r="J128" s="36">
        <f t="shared" si="46"/>
        <v>0</v>
      </c>
      <c r="K128" s="36">
        <f t="shared" si="48"/>
        <v>0</v>
      </c>
      <c r="L128" s="36">
        <f t="shared" si="49"/>
        <v>0</v>
      </c>
    </row>
    <row r="129" spans="1:13" ht="24" x14ac:dyDescent="0.2">
      <c r="A129" s="38" t="s">
        <v>303</v>
      </c>
      <c r="B129" s="99" t="s">
        <v>365</v>
      </c>
      <c r="C129" s="37" t="s">
        <v>366</v>
      </c>
      <c r="D129" s="48">
        <v>2</v>
      </c>
      <c r="E129" s="48">
        <f t="shared" si="47"/>
        <v>60</v>
      </c>
      <c r="F129" s="35" t="s">
        <v>208</v>
      </c>
      <c r="G129" s="43"/>
      <c r="H129" s="61"/>
      <c r="I129" s="36">
        <f t="shared" si="45"/>
        <v>0</v>
      </c>
      <c r="J129" s="36">
        <f t="shared" si="46"/>
        <v>0</v>
      </c>
      <c r="K129" s="36">
        <f t="shared" si="48"/>
        <v>0</v>
      </c>
      <c r="L129" s="36">
        <f t="shared" si="49"/>
        <v>0</v>
      </c>
    </row>
    <row r="130" spans="1:13" ht="24" x14ac:dyDescent="0.2">
      <c r="A130" s="38" t="s">
        <v>304</v>
      </c>
      <c r="B130" s="99" t="s">
        <v>372</v>
      </c>
      <c r="C130" s="37" t="s">
        <v>373</v>
      </c>
      <c r="D130" s="48">
        <v>1</v>
      </c>
      <c r="E130" s="48">
        <f t="shared" si="47"/>
        <v>30</v>
      </c>
      <c r="F130" s="35" t="s">
        <v>208</v>
      </c>
      <c r="G130" s="43"/>
      <c r="H130" s="61"/>
      <c r="I130" s="36">
        <f t="shared" si="45"/>
        <v>0</v>
      </c>
      <c r="J130" s="36">
        <f t="shared" si="46"/>
        <v>0</v>
      </c>
      <c r="K130" s="36">
        <f t="shared" si="48"/>
        <v>0</v>
      </c>
      <c r="L130" s="36">
        <f t="shared" si="49"/>
        <v>0</v>
      </c>
    </row>
    <row r="131" spans="1:13" ht="24" x14ac:dyDescent="0.2">
      <c r="A131" s="38" t="s">
        <v>305</v>
      </c>
      <c r="B131" s="99" t="s">
        <v>353</v>
      </c>
      <c r="C131" s="37" t="s">
        <v>360</v>
      </c>
      <c r="D131" s="48">
        <v>1</v>
      </c>
      <c r="E131" s="48">
        <f t="shared" si="47"/>
        <v>30</v>
      </c>
      <c r="F131" s="35" t="s">
        <v>208</v>
      </c>
      <c r="G131" s="43"/>
      <c r="H131" s="61"/>
      <c r="I131" s="36">
        <f t="shared" si="45"/>
        <v>0</v>
      </c>
      <c r="J131" s="36">
        <f t="shared" si="46"/>
        <v>0</v>
      </c>
      <c r="K131" s="36">
        <f t="shared" si="48"/>
        <v>0</v>
      </c>
      <c r="L131" s="36">
        <f t="shared" si="49"/>
        <v>0</v>
      </c>
    </row>
    <row r="132" spans="1:13" ht="24" x14ac:dyDescent="0.2">
      <c r="A132" s="38" t="s">
        <v>306</v>
      </c>
      <c r="B132" s="99" t="s">
        <v>355</v>
      </c>
      <c r="C132" s="37" t="s">
        <v>107</v>
      </c>
      <c r="D132" s="48">
        <v>2</v>
      </c>
      <c r="E132" s="48">
        <f t="shared" si="47"/>
        <v>60</v>
      </c>
      <c r="F132" s="35" t="s">
        <v>18</v>
      </c>
      <c r="G132" s="43"/>
      <c r="H132" s="61"/>
      <c r="I132" s="36">
        <f t="shared" si="45"/>
        <v>0</v>
      </c>
      <c r="J132" s="36">
        <f t="shared" si="46"/>
        <v>0</v>
      </c>
      <c r="K132" s="36">
        <f t="shared" si="48"/>
        <v>0</v>
      </c>
      <c r="L132" s="36">
        <f t="shared" si="49"/>
        <v>0</v>
      </c>
    </row>
    <row r="133" spans="1:13" ht="24" x14ac:dyDescent="0.2">
      <c r="A133" s="38" t="s">
        <v>307</v>
      </c>
      <c r="B133" s="99" t="s">
        <v>353</v>
      </c>
      <c r="C133" s="37" t="s">
        <v>108</v>
      </c>
      <c r="D133" s="48">
        <v>2</v>
      </c>
      <c r="E133" s="48">
        <f t="shared" si="47"/>
        <v>60</v>
      </c>
      <c r="F133" s="35" t="s">
        <v>18</v>
      </c>
      <c r="G133" s="43"/>
      <c r="H133" s="61"/>
      <c r="I133" s="36">
        <f t="shared" si="45"/>
        <v>0</v>
      </c>
      <c r="J133" s="36">
        <f t="shared" si="46"/>
        <v>0</v>
      </c>
      <c r="K133" s="36">
        <f t="shared" si="48"/>
        <v>0</v>
      </c>
      <c r="L133" s="36">
        <f t="shared" si="49"/>
        <v>0</v>
      </c>
    </row>
    <row r="134" spans="1:13" ht="24" x14ac:dyDescent="0.2">
      <c r="A134" s="38" t="s">
        <v>308</v>
      </c>
      <c r="B134" s="99" t="s">
        <v>375</v>
      </c>
      <c r="C134" s="37" t="s">
        <v>376</v>
      </c>
      <c r="D134" s="48">
        <v>1</v>
      </c>
      <c r="E134" s="48">
        <f t="shared" si="47"/>
        <v>30</v>
      </c>
      <c r="F134" s="35" t="s">
        <v>208</v>
      </c>
      <c r="G134" s="43"/>
      <c r="H134" s="61"/>
      <c r="I134" s="36">
        <f t="shared" si="45"/>
        <v>0</v>
      </c>
      <c r="J134" s="36">
        <f t="shared" si="46"/>
        <v>0</v>
      </c>
      <c r="K134" s="36">
        <f t="shared" si="48"/>
        <v>0</v>
      </c>
      <c r="L134" s="36">
        <f t="shared" si="49"/>
        <v>0</v>
      </c>
    </row>
    <row r="135" spans="1:13" ht="24" x14ac:dyDescent="0.2">
      <c r="A135" s="38" t="s">
        <v>309</v>
      </c>
      <c r="B135" s="99" t="s">
        <v>369</v>
      </c>
      <c r="C135" s="37" t="s">
        <v>370</v>
      </c>
      <c r="D135" s="48">
        <v>1</v>
      </c>
      <c r="E135" s="48">
        <f t="shared" si="47"/>
        <v>30</v>
      </c>
      <c r="F135" s="35" t="s">
        <v>18</v>
      </c>
      <c r="G135" s="43"/>
      <c r="H135" s="61"/>
      <c r="I135" s="36">
        <f t="shared" si="45"/>
        <v>0</v>
      </c>
      <c r="J135" s="36">
        <f t="shared" si="46"/>
        <v>0</v>
      </c>
      <c r="K135" s="36">
        <f t="shared" si="48"/>
        <v>0</v>
      </c>
      <c r="L135" s="36">
        <f t="shared" si="49"/>
        <v>0</v>
      </c>
    </row>
    <row r="136" spans="1:13" ht="24" x14ac:dyDescent="0.2">
      <c r="A136" s="38" t="s">
        <v>310</v>
      </c>
      <c r="B136" s="99" t="s">
        <v>362</v>
      </c>
      <c r="C136" s="37" t="s">
        <v>363</v>
      </c>
      <c r="D136" s="48">
        <v>1</v>
      </c>
      <c r="E136" s="48">
        <f t="shared" si="47"/>
        <v>30</v>
      </c>
      <c r="F136" s="35" t="s">
        <v>18</v>
      </c>
      <c r="G136" s="43"/>
      <c r="H136" s="61"/>
      <c r="I136" s="36">
        <f t="shared" si="45"/>
        <v>0</v>
      </c>
      <c r="J136" s="36">
        <f t="shared" si="46"/>
        <v>0</v>
      </c>
      <c r="K136" s="36">
        <f t="shared" si="48"/>
        <v>0</v>
      </c>
      <c r="L136" s="36">
        <f t="shared" si="49"/>
        <v>0</v>
      </c>
    </row>
    <row r="137" spans="1:13" ht="24" x14ac:dyDescent="0.2">
      <c r="A137" s="38" t="s">
        <v>311</v>
      </c>
      <c r="B137" s="99" t="s">
        <v>356</v>
      </c>
      <c r="C137" s="37" t="s">
        <v>109</v>
      </c>
      <c r="D137" s="48">
        <v>1</v>
      </c>
      <c r="E137" s="48">
        <f t="shared" si="47"/>
        <v>30</v>
      </c>
      <c r="F137" s="35" t="s">
        <v>18</v>
      </c>
      <c r="G137" s="43"/>
      <c r="H137" s="61"/>
      <c r="I137" s="36">
        <f t="shared" si="45"/>
        <v>0</v>
      </c>
      <c r="J137" s="36">
        <f t="shared" si="46"/>
        <v>0</v>
      </c>
      <c r="K137" s="36">
        <f t="shared" si="48"/>
        <v>0</v>
      </c>
      <c r="L137" s="36">
        <f t="shared" si="49"/>
        <v>0</v>
      </c>
    </row>
    <row r="138" spans="1:13" ht="24" x14ac:dyDescent="0.2">
      <c r="A138" s="38" t="s">
        <v>361</v>
      </c>
      <c r="B138" s="99" t="s">
        <v>242</v>
      </c>
      <c r="C138" s="37" t="s">
        <v>364</v>
      </c>
      <c r="D138" s="48">
        <v>1</v>
      </c>
      <c r="E138" s="48">
        <f t="shared" si="47"/>
        <v>30</v>
      </c>
      <c r="F138" s="35" t="s">
        <v>18</v>
      </c>
      <c r="G138" s="43"/>
      <c r="H138" s="61"/>
      <c r="I138" s="36">
        <f t="shared" si="45"/>
        <v>0</v>
      </c>
      <c r="J138" s="36">
        <f t="shared" si="46"/>
        <v>0</v>
      </c>
      <c r="K138" s="36">
        <f t="shared" si="48"/>
        <v>0</v>
      </c>
      <c r="L138" s="36">
        <f t="shared" si="49"/>
        <v>0</v>
      </c>
    </row>
    <row r="139" spans="1:13" ht="24" x14ac:dyDescent="0.2">
      <c r="A139" s="38" t="s">
        <v>367</v>
      </c>
      <c r="B139" s="99" t="s">
        <v>357</v>
      </c>
      <c r="C139" s="37" t="s">
        <v>110</v>
      </c>
      <c r="D139" s="48">
        <v>3</v>
      </c>
      <c r="E139" s="48">
        <f t="shared" si="47"/>
        <v>90</v>
      </c>
      <c r="F139" s="35" t="s">
        <v>18</v>
      </c>
      <c r="G139" s="43"/>
      <c r="H139" s="61"/>
      <c r="I139" s="36">
        <f t="shared" si="45"/>
        <v>0</v>
      </c>
      <c r="J139" s="36">
        <f t="shared" si="46"/>
        <v>0</v>
      </c>
      <c r="K139" s="36">
        <f>ROUND(I139+J139,2)</f>
        <v>0</v>
      </c>
      <c r="L139" s="36">
        <f t="shared" si="49"/>
        <v>0</v>
      </c>
    </row>
    <row r="140" spans="1:13" ht="24" x14ac:dyDescent="0.2">
      <c r="A140" s="38" t="s">
        <v>368</v>
      </c>
      <c r="B140" s="99" t="s">
        <v>358</v>
      </c>
      <c r="C140" s="37" t="s">
        <v>71</v>
      </c>
      <c r="D140" s="48">
        <v>2</v>
      </c>
      <c r="E140" s="48">
        <f t="shared" si="47"/>
        <v>60</v>
      </c>
      <c r="F140" s="35" t="s">
        <v>4</v>
      </c>
      <c r="G140" s="43"/>
      <c r="H140" s="61"/>
      <c r="I140" s="36">
        <f>ROUND(G140*D140,2)</f>
        <v>0</v>
      </c>
      <c r="J140" s="36">
        <f t="shared" si="46"/>
        <v>0</v>
      </c>
      <c r="K140" s="36">
        <f t="shared" si="48"/>
        <v>0</v>
      </c>
      <c r="L140" s="36">
        <f t="shared" si="49"/>
        <v>0</v>
      </c>
    </row>
    <row r="141" spans="1:13" ht="24" x14ac:dyDescent="0.2">
      <c r="A141" s="38" t="s">
        <v>371</v>
      </c>
      <c r="B141" s="99" t="s">
        <v>359</v>
      </c>
      <c r="C141" s="37" t="s">
        <v>103</v>
      </c>
      <c r="D141" s="48">
        <v>1</v>
      </c>
      <c r="E141" s="48">
        <f t="shared" si="47"/>
        <v>30</v>
      </c>
      <c r="F141" s="35" t="s">
        <v>18</v>
      </c>
      <c r="G141" s="43"/>
      <c r="H141" s="61"/>
      <c r="I141" s="36">
        <f>ROUND(G141*D141,2)</f>
        <v>0</v>
      </c>
      <c r="J141" s="36">
        <f t="shared" si="46"/>
        <v>0</v>
      </c>
      <c r="K141" s="36">
        <f t="shared" si="48"/>
        <v>0</v>
      </c>
      <c r="L141" s="36">
        <f t="shared" si="49"/>
        <v>0</v>
      </c>
    </row>
    <row r="142" spans="1:13" ht="24" x14ac:dyDescent="0.2">
      <c r="A142" s="38" t="s">
        <v>374</v>
      </c>
      <c r="B142" s="99" t="s">
        <v>243</v>
      </c>
      <c r="C142" s="37" t="s">
        <v>122</v>
      </c>
      <c r="D142" s="48">
        <v>1</v>
      </c>
      <c r="E142" s="48">
        <f t="shared" si="47"/>
        <v>30</v>
      </c>
      <c r="F142" s="35" t="s">
        <v>18</v>
      </c>
      <c r="G142" s="43"/>
      <c r="H142" s="61"/>
      <c r="I142" s="36">
        <f>ROUND(G142*D142,2)</f>
        <v>0</v>
      </c>
      <c r="J142" s="36">
        <f t="shared" si="46"/>
        <v>0</v>
      </c>
      <c r="K142" s="36">
        <f t="shared" si="48"/>
        <v>0</v>
      </c>
      <c r="L142" s="36">
        <f t="shared" si="49"/>
        <v>0</v>
      </c>
    </row>
    <row r="143" spans="1:13" ht="24" x14ac:dyDescent="0.2">
      <c r="A143" s="38" t="s">
        <v>377</v>
      </c>
      <c r="B143" s="99" t="s">
        <v>244</v>
      </c>
      <c r="C143" s="37" t="s">
        <v>72</v>
      </c>
      <c r="D143" s="48">
        <v>1</v>
      </c>
      <c r="E143" s="48">
        <f t="shared" si="47"/>
        <v>30</v>
      </c>
      <c r="F143" s="35" t="s">
        <v>18</v>
      </c>
      <c r="G143" s="43"/>
      <c r="H143" s="61"/>
      <c r="I143" s="36">
        <f>ROUND(G143*D143,2)</f>
        <v>0</v>
      </c>
      <c r="J143" s="36">
        <f t="shared" si="46"/>
        <v>0</v>
      </c>
      <c r="K143" s="36">
        <f t="shared" si="48"/>
        <v>0</v>
      </c>
      <c r="L143" s="36">
        <f t="shared" si="49"/>
        <v>0</v>
      </c>
    </row>
    <row r="144" spans="1:13" s="54" customFormat="1" x14ac:dyDescent="0.2">
      <c r="A144" s="41"/>
      <c r="B144" s="102"/>
      <c r="C144" s="47"/>
      <c r="D144" s="53"/>
      <c r="E144" s="53"/>
      <c r="F144" s="41"/>
      <c r="G144" s="57"/>
      <c r="H144" s="56"/>
      <c r="I144" s="56"/>
      <c r="J144" s="56" t="s">
        <v>125</v>
      </c>
      <c r="K144" s="56">
        <f>SUM(K126:K143)</f>
        <v>0</v>
      </c>
      <c r="L144" s="56">
        <f>SUM(L126:L143)</f>
        <v>0</v>
      </c>
      <c r="M144" s="96"/>
    </row>
    <row r="145" spans="1:15" x14ac:dyDescent="0.2">
      <c r="A145" s="41" t="s">
        <v>312</v>
      </c>
      <c r="B145" s="52"/>
      <c r="C145" s="47" t="s">
        <v>92</v>
      </c>
      <c r="D145" s="53"/>
      <c r="E145" s="53"/>
      <c r="F145" s="41"/>
      <c r="G145" s="57"/>
      <c r="H145" s="57"/>
      <c r="I145" s="39"/>
      <c r="J145" s="39"/>
      <c r="K145" s="39"/>
      <c r="L145" s="39"/>
    </row>
    <row r="146" spans="1:15" ht="24" x14ac:dyDescent="0.2">
      <c r="A146" s="38" t="s">
        <v>313</v>
      </c>
      <c r="B146" s="99" t="s">
        <v>245</v>
      </c>
      <c r="C146" s="37" t="s">
        <v>157</v>
      </c>
      <c r="D146" s="48">
        <v>44</v>
      </c>
      <c r="E146" s="48">
        <f>ROUND(D146*30,2)</f>
        <v>1320</v>
      </c>
      <c r="F146" s="35" t="s">
        <v>50</v>
      </c>
      <c r="G146" s="43"/>
      <c r="H146" s="36"/>
      <c r="I146" s="36">
        <f>ROUND(G146*D146,2)</f>
        <v>0</v>
      </c>
      <c r="J146" s="36">
        <f>ROUND(H146*D146,2)</f>
        <v>0</v>
      </c>
      <c r="K146" s="36">
        <f>ROUND(I146+J146,2)</f>
        <v>0</v>
      </c>
      <c r="L146" s="36">
        <f>ROUND((I146+J146)*30,2)</f>
        <v>0</v>
      </c>
    </row>
    <row r="147" spans="1:15" ht="24" x14ac:dyDescent="0.2">
      <c r="A147" s="38" t="s">
        <v>314</v>
      </c>
      <c r="B147" s="99" t="s">
        <v>246</v>
      </c>
      <c r="C147" s="37" t="s">
        <v>158</v>
      </c>
      <c r="D147" s="48">
        <v>88</v>
      </c>
      <c r="E147" s="48">
        <f>ROUND(D147*30,2)</f>
        <v>2640</v>
      </c>
      <c r="F147" s="35" t="s">
        <v>50</v>
      </c>
      <c r="G147" s="43"/>
      <c r="H147" s="36"/>
      <c r="I147" s="36">
        <f>ROUND(G147*D147,2)</f>
        <v>0</v>
      </c>
      <c r="J147" s="36">
        <f>ROUND(H147*D147,2)</f>
        <v>0</v>
      </c>
      <c r="K147" s="36">
        <f>ROUND(I147+J147,2)</f>
        <v>0</v>
      </c>
      <c r="L147" s="36">
        <f>ROUND((I147+J147)*30,2)</f>
        <v>0</v>
      </c>
    </row>
    <row r="148" spans="1:15" s="54" customFormat="1" x14ac:dyDescent="0.2">
      <c r="A148" s="41"/>
      <c r="B148" s="41"/>
      <c r="C148" s="47"/>
      <c r="D148" s="53"/>
      <c r="E148" s="53"/>
      <c r="F148" s="41"/>
      <c r="G148" s="57"/>
      <c r="H148" s="56"/>
      <c r="I148" s="56"/>
      <c r="J148" s="56" t="s">
        <v>125</v>
      </c>
      <c r="K148" s="56">
        <f>SUM(K146:K147)</f>
        <v>0</v>
      </c>
      <c r="L148" s="56">
        <f>SUM(L146:L147)</f>
        <v>0</v>
      </c>
      <c r="M148" s="96"/>
    </row>
    <row r="149" spans="1:15" x14ac:dyDescent="0.2">
      <c r="C149" s="46"/>
      <c r="K149" s="59"/>
      <c r="L149" s="59"/>
    </row>
    <row r="150" spans="1:15" x14ac:dyDescent="0.2">
      <c r="A150" s="41"/>
      <c r="B150" s="132" t="s">
        <v>123</v>
      </c>
      <c r="C150" s="132"/>
      <c r="D150" s="132"/>
      <c r="E150" s="132"/>
      <c r="F150" s="132"/>
      <c r="G150" s="132"/>
      <c r="H150" s="132"/>
      <c r="I150" s="132"/>
      <c r="J150" s="132"/>
      <c r="K150" s="42">
        <f>SUM(K148,K144,K124,K99,K75,K65,K61,K55,K49,K38,K41,K29,K16)</f>
        <v>0</v>
      </c>
      <c r="L150" s="42">
        <f>SUM(L148,L144,L124,L99,L75,L65,L61,L55,L49,L38,L41,L29,L16)</f>
        <v>0</v>
      </c>
      <c r="M150" s="96"/>
    </row>
    <row r="151" spans="1:15" x14ac:dyDescent="0.2">
      <c r="B151" s="132" t="s">
        <v>414</v>
      </c>
      <c r="C151" s="132"/>
      <c r="D151" s="132"/>
      <c r="E151" s="132"/>
      <c r="F151" s="132"/>
      <c r="G151" s="132"/>
      <c r="H151" s="132"/>
      <c r="I151" s="132"/>
      <c r="J151" s="132"/>
      <c r="K151" s="42">
        <f>ROUND(K150*BDI!D39,2)</f>
        <v>0</v>
      </c>
      <c r="L151" s="42">
        <f>ROUND(L150*BDI!D39,2)</f>
        <v>0</v>
      </c>
    </row>
    <row r="152" spans="1:15" x14ac:dyDescent="0.2">
      <c r="B152" s="132" t="s">
        <v>124</v>
      </c>
      <c r="C152" s="132"/>
      <c r="D152" s="132"/>
      <c r="E152" s="132"/>
      <c r="F152" s="132"/>
      <c r="G152" s="132"/>
      <c r="H152" s="132"/>
      <c r="I152" s="132"/>
      <c r="J152" s="132"/>
      <c r="K152" s="42">
        <f>SUM(K150:K151)</f>
        <v>0</v>
      </c>
      <c r="L152" s="42">
        <f>SUM(L150:L151)</f>
        <v>0</v>
      </c>
      <c r="N152" s="80"/>
      <c r="O152" s="80"/>
    </row>
  </sheetData>
  <mergeCells count="5">
    <mergeCell ref="A1:K1"/>
    <mergeCell ref="A2:K2"/>
    <mergeCell ref="B150:J150"/>
    <mergeCell ref="B151:J151"/>
    <mergeCell ref="B152:J152"/>
  </mergeCells>
  <phoneticPr fontId="20" type="noConversion"/>
  <printOptions horizontalCentered="1"/>
  <pageMargins left="0.78740157480314965" right="0.78740157480314965" top="1.5748031496062993" bottom="0.78740157480314965" header="0" footer="0"/>
  <pageSetup paperSize="9" scale="70" orientation="landscape" r:id="rId1"/>
  <headerFooter alignWithMargins="0">
    <oddHeader>&amp;R&amp;G</oddHeader>
    <oddFooter>&amp;L&amp;8DEPARTAMENTO DE ENGENHARIA&amp;R&amp;P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view="pageBreakPreview" zoomScale="115" zoomScaleNormal="100" zoomScaleSheetLayoutView="115" workbookViewId="0">
      <selection activeCell="B24" sqref="B24"/>
    </sheetView>
  </sheetViews>
  <sheetFormatPr defaultColWidth="9.140625" defaultRowHeight="12" x14ac:dyDescent="0.2"/>
  <cols>
    <col min="1" max="1" width="5.5703125" style="40" customWidth="1"/>
    <col min="2" max="2" width="24.85546875" style="60" customWidth="1"/>
    <col min="3" max="3" width="12.28515625" style="40" customWidth="1"/>
    <col min="4" max="4" width="6.28515625" style="72" customWidth="1"/>
    <col min="5" max="5" width="12.28515625" style="34" customWidth="1"/>
    <col min="6" max="6" width="6.28515625" style="78" customWidth="1"/>
    <col min="7" max="7" width="12.28515625" style="50" customWidth="1"/>
    <col min="8" max="8" width="6.28515625" style="78" customWidth="1"/>
    <col min="9" max="9" width="12.28515625" style="50" customWidth="1"/>
    <col min="10" max="10" width="6.140625" style="50" customWidth="1"/>
    <col min="11" max="11" width="12.28515625" style="50" customWidth="1"/>
    <col min="12" max="12" width="6.140625" style="50" customWidth="1"/>
    <col min="13" max="13" width="12.28515625" style="50" customWidth="1"/>
    <col min="14" max="14" width="6.140625" style="50" customWidth="1"/>
    <col min="15" max="15" width="12.28515625" style="50" customWidth="1"/>
    <col min="16" max="16" width="6.140625" style="50" customWidth="1"/>
    <col min="17" max="17" width="12.28515625" style="50" customWidth="1"/>
    <col min="18" max="18" width="6.140625" style="50" customWidth="1"/>
    <col min="19" max="19" width="12.28515625" style="50" customWidth="1"/>
    <col min="20" max="20" width="6.140625" style="50" customWidth="1"/>
    <col min="21" max="21" width="12.28515625" style="50" customWidth="1"/>
    <col min="22" max="22" width="6.140625" style="50" customWidth="1"/>
    <col min="23" max="23" width="12.28515625" style="50" customWidth="1"/>
    <col min="24" max="24" width="6.140625" style="50" customWidth="1"/>
    <col min="25" max="25" width="12.28515625" style="50" customWidth="1"/>
    <col min="26" max="26" width="7" style="50" customWidth="1"/>
    <col min="27" max="27" width="12.28515625" style="50" customWidth="1"/>
    <col min="28" max="28" width="7" style="72" customWidth="1"/>
    <col min="29" max="29" width="13.28515625" style="34" customWidth="1"/>
    <col min="30" max="16384" width="9.140625" style="34"/>
  </cols>
  <sheetData>
    <row r="1" spans="1:29" s="66" customFormat="1" ht="12.75" customHeight="1" x14ac:dyDescent="0.2">
      <c r="A1" s="139" t="s">
        <v>0</v>
      </c>
      <c r="B1" s="137" t="s">
        <v>1</v>
      </c>
      <c r="C1" s="137" t="s">
        <v>420</v>
      </c>
      <c r="D1" s="133" t="s">
        <v>195</v>
      </c>
      <c r="E1" s="134"/>
      <c r="F1" s="133" t="s">
        <v>196</v>
      </c>
      <c r="G1" s="134"/>
      <c r="H1" s="133" t="s">
        <v>197</v>
      </c>
      <c r="I1" s="134"/>
      <c r="J1" s="133" t="s">
        <v>421</v>
      </c>
      <c r="K1" s="134"/>
      <c r="L1" s="133" t="s">
        <v>422</v>
      </c>
      <c r="M1" s="134"/>
      <c r="N1" s="133" t="s">
        <v>423</v>
      </c>
      <c r="O1" s="134"/>
      <c r="P1" s="133" t="s">
        <v>424</v>
      </c>
      <c r="Q1" s="134"/>
      <c r="R1" s="133" t="s">
        <v>425</v>
      </c>
      <c r="S1" s="134"/>
      <c r="T1" s="133" t="s">
        <v>426</v>
      </c>
      <c r="U1" s="134"/>
      <c r="V1" s="133" t="s">
        <v>427</v>
      </c>
      <c r="W1" s="134"/>
      <c r="X1" s="133" t="s">
        <v>428</v>
      </c>
      <c r="Y1" s="134"/>
      <c r="Z1" s="133" t="s">
        <v>429</v>
      </c>
      <c r="AA1" s="134"/>
      <c r="AB1" s="133" t="s">
        <v>190</v>
      </c>
      <c r="AC1" s="134"/>
    </row>
    <row r="2" spans="1:29" s="68" customFormat="1" ht="24" customHeight="1" x14ac:dyDescent="0.2">
      <c r="A2" s="139"/>
      <c r="B2" s="138"/>
      <c r="C2" s="138"/>
      <c r="D2" s="67" t="s">
        <v>191</v>
      </c>
      <c r="E2" s="67" t="s">
        <v>192</v>
      </c>
      <c r="F2" s="67" t="s">
        <v>191</v>
      </c>
      <c r="G2" s="67" t="s">
        <v>192</v>
      </c>
      <c r="H2" s="67" t="s">
        <v>191</v>
      </c>
      <c r="I2" s="67" t="s">
        <v>192</v>
      </c>
      <c r="J2" s="67" t="s">
        <v>191</v>
      </c>
      <c r="K2" s="67" t="s">
        <v>192</v>
      </c>
      <c r="L2" s="67" t="s">
        <v>191</v>
      </c>
      <c r="M2" s="67" t="s">
        <v>192</v>
      </c>
      <c r="N2" s="67" t="s">
        <v>191</v>
      </c>
      <c r="O2" s="67" t="s">
        <v>192</v>
      </c>
      <c r="P2" s="67" t="s">
        <v>191</v>
      </c>
      <c r="Q2" s="67" t="s">
        <v>192</v>
      </c>
      <c r="R2" s="67" t="s">
        <v>191</v>
      </c>
      <c r="S2" s="67" t="s">
        <v>192</v>
      </c>
      <c r="T2" s="67" t="s">
        <v>191</v>
      </c>
      <c r="U2" s="67" t="s">
        <v>192</v>
      </c>
      <c r="V2" s="67" t="s">
        <v>191</v>
      </c>
      <c r="W2" s="67" t="s">
        <v>192</v>
      </c>
      <c r="X2" s="67" t="s">
        <v>191</v>
      </c>
      <c r="Y2" s="67" t="s">
        <v>192</v>
      </c>
      <c r="Z2" s="67" t="s">
        <v>191</v>
      </c>
      <c r="AA2" s="67" t="s">
        <v>192</v>
      </c>
      <c r="AB2" s="67" t="s">
        <v>191</v>
      </c>
      <c r="AC2" s="67" t="s">
        <v>192</v>
      </c>
    </row>
    <row r="3" spans="1:29" s="72" customFormat="1" ht="16.5" customHeight="1" x14ac:dyDescent="0.2">
      <c r="A3" s="68" t="s">
        <v>193</v>
      </c>
      <c r="B3" s="69" t="str">
        <f>ORCAMENTO!C9</f>
        <v>Serviços Preliminares</v>
      </c>
      <c r="C3" s="70">
        <f>ROUND(ORCAMENTO!L16*(1+BDI!D39),2)</f>
        <v>0</v>
      </c>
      <c r="D3" s="71">
        <v>0.1</v>
      </c>
      <c r="E3" s="70">
        <f>ROUND(D3*$C$3,2)</f>
        <v>0</v>
      </c>
      <c r="F3" s="71">
        <v>0.1</v>
      </c>
      <c r="G3" s="70">
        <f>ROUND(F3*$C$3,2)</f>
        <v>0</v>
      </c>
      <c r="H3" s="71">
        <v>0.1</v>
      </c>
      <c r="I3" s="70">
        <f>ROUND(H3*$C$3,2)</f>
        <v>0</v>
      </c>
      <c r="J3" s="71">
        <v>0.1</v>
      </c>
      <c r="K3" s="70">
        <f>ROUND(J3*$C$3,2)</f>
        <v>0</v>
      </c>
      <c r="L3" s="71">
        <v>0.1</v>
      </c>
      <c r="M3" s="70">
        <f>ROUND(L3*$C$3,2)</f>
        <v>0</v>
      </c>
      <c r="N3" s="71">
        <v>0.1</v>
      </c>
      <c r="O3" s="70">
        <f>ROUND(N3*$C$3,2)</f>
        <v>0</v>
      </c>
      <c r="P3" s="71">
        <v>0.1</v>
      </c>
      <c r="Q3" s="70">
        <f>ROUND(P3*$C$3,2)</f>
        <v>0</v>
      </c>
      <c r="R3" s="71">
        <v>0.1</v>
      </c>
      <c r="S3" s="70">
        <f>ROUNDDOWN(R3*$C$3,2)</f>
        <v>0</v>
      </c>
      <c r="T3" s="71">
        <v>0.1</v>
      </c>
      <c r="U3" s="70">
        <f>ROUNDDOWN(T3*$C$3,2)</f>
        <v>0</v>
      </c>
      <c r="V3" s="71">
        <v>0.1</v>
      </c>
      <c r="W3" s="70">
        <f>ROUNDDOWN(V3*$C$3,2)</f>
        <v>0</v>
      </c>
      <c r="X3" s="71"/>
      <c r="Y3" s="70">
        <f>ROUND(X3*$C$3,2)</f>
        <v>0</v>
      </c>
      <c r="Z3" s="71"/>
      <c r="AA3" s="70">
        <f>ROUND(Z3*$C$3,2)</f>
        <v>0</v>
      </c>
      <c r="AB3" s="71">
        <f>SUM(H3,F3,D3,J3,L3,N3,P3,R3,T3,V3,X3,Z3)</f>
        <v>0.99999999999999989</v>
      </c>
      <c r="AC3" s="70">
        <f>SUM(I3,G3,E3,K3,M3,O3,Q3,S3,U3,W3,Y3,AA3)</f>
        <v>0</v>
      </c>
    </row>
    <row r="4" spans="1:29" s="72" customFormat="1" ht="16.5" customHeight="1" x14ac:dyDescent="0.2">
      <c r="A4" s="68" t="s">
        <v>155</v>
      </c>
      <c r="B4" s="69" t="str">
        <f>ORCAMENTO!C17</f>
        <v>Fundação</v>
      </c>
      <c r="C4" s="70">
        <f>ROUND(ORCAMENTO!L29*(1+BDI!D39),2)</f>
        <v>0</v>
      </c>
      <c r="D4" s="71">
        <v>0.1</v>
      </c>
      <c r="E4" s="70">
        <f>ROUND(D4*$C$4,2)</f>
        <v>0</v>
      </c>
      <c r="F4" s="71">
        <v>0.1</v>
      </c>
      <c r="G4" s="70">
        <f>ROUND(F4*$C$4,2)</f>
        <v>0</v>
      </c>
      <c r="H4" s="71">
        <v>0.1</v>
      </c>
      <c r="I4" s="70">
        <f>ROUND(H4*$C$4,2)</f>
        <v>0</v>
      </c>
      <c r="J4" s="71">
        <v>0.1</v>
      </c>
      <c r="K4" s="70">
        <f>ROUND(J4*$C$4,2)</f>
        <v>0</v>
      </c>
      <c r="L4" s="71">
        <v>0.1</v>
      </c>
      <c r="M4" s="70">
        <f>ROUND(L4*$C$4,2)</f>
        <v>0</v>
      </c>
      <c r="N4" s="71">
        <v>0.1</v>
      </c>
      <c r="O4" s="70">
        <f>ROUND(N4*$C$4,2)</f>
        <v>0</v>
      </c>
      <c r="P4" s="71">
        <v>0.1</v>
      </c>
      <c r="Q4" s="70">
        <f>ROUND(P4*$C$4,2)</f>
        <v>0</v>
      </c>
      <c r="R4" s="71">
        <v>0.1</v>
      </c>
      <c r="S4" s="70">
        <f>ROUND(R4*$C$4,2)</f>
        <v>0</v>
      </c>
      <c r="T4" s="71">
        <v>0.1</v>
      </c>
      <c r="U4" s="70">
        <f>ROUND(T4*$C$4,2)</f>
        <v>0</v>
      </c>
      <c r="V4" s="71">
        <v>0.1</v>
      </c>
      <c r="W4" s="70">
        <f>ROUNDDOWN(V4*$C$4,2)</f>
        <v>0</v>
      </c>
      <c r="X4" s="71"/>
      <c r="Y4" s="70">
        <f>ROUND(X4*$C$4,2)</f>
        <v>0</v>
      </c>
      <c r="Z4" s="71"/>
      <c r="AA4" s="70">
        <f>ROUND(Z4*$C$4,2)</f>
        <v>0</v>
      </c>
      <c r="AB4" s="71">
        <f t="shared" ref="AB4:AB15" si="0">SUM(H4,F4,D4,J4,L4,N4,P4,R4,T4,V4,X4,Z4)</f>
        <v>0.99999999999999989</v>
      </c>
      <c r="AC4" s="70">
        <f t="shared" ref="AC4:AC15" si="1">SUM(I4,G4,E4,K4,M4,O4,Q4,S4,U4,W4,Y4,AA4)</f>
        <v>0</v>
      </c>
    </row>
    <row r="5" spans="1:29" s="72" customFormat="1" ht="22.5" x14ac:dyDescent="0.2">
      <c r="A5" s="68" t="s">
        <v>8</v>
      </c>
      <c r="B5" s="69" t="str">
        <f>ORCAMENTO!C30</f>
        <v>Estrutura (cintas, vigas, pilares e vergas)</v>
      </c>
      <c r="C5" s="70">
        <f>ROUND(ORCAMENTO!L38*(1+BDI!D39),2)</f>
        <v>0</v>
      </c>
      <c r="D5" s="71">
        <v>0.1</v>
      </c>
      <c r="E5" s="70">
        <f>ROUND(D5*$C$5,2)</f>
        <v>0</v>
      </c>
      <c r="F5" s="71">
        <v>0.1</v>
      </c>
      <c r="G5" s="70">
        <f>ROUND(F5*$C$5,2)</f>
        <v>0</v>
      </c>
      <c r="H5" s="71">
        <v>0.1</v>
      </c>
      <c r="I5" s="70">
        <f>ROUND(H5*$C$5,2)</f>
        <v>0</v>
      </c>
      <c r="J5" s="71">
        <v>0.1</v>
      </c>
      <c r="K5" s="70">
        <f>ROUND(J5*$C$5,2)</f>
        <v>0</v>
      </c>
      <c r="L5" s="71">
        <v>0.1</v>
      </c>
      <c r="M5" s="70">
        <f>ROUND(L5*$C$5,2)</f>
        <v>0</v>
      </c>
      <c r="N5" s="71">
        <v>0.1</v>
      </c>
      <c r="O5" s="70">
        <f>ROUND(N5*$C$5,2)</f>
        <v>0</v>
      </c>
      <c r="P5" s="71">
        <v>0.1</v>
      </c>
      <c r="Q5" s="70">
        <f>ROUND(P5*$C$5,2)</f>
        <v>0</v>
      </c>
      <c r="R5" s="71">
        <v>0.1</v>
      </c>
      <c r="S5" s="70">
        <f>ROUND(R5*$C$5,2)</f>
        <v>0</v>
      </c>
      <c r="T5" s="71">
        <v>0.1</v>
      </c>
      <c r="U5" s="70">
        <f>ROUNDUP(T5*$C$5,2)</f>
        <v>0</v>
      </c>
      <c r="V5" s="71">
        <v>0.1</v>
      </c>
      <c r="W5" s="70">
        <f>ROUNDUP(V5*$C$5,2)</f>
        <v>0</v>
      </c>
      <c r="X5" s="71"/>
      <c r="Y5" s="70">
        <f>ROUND(X5*$C$5,2)</f>
        <v>0</v>
      </c>
      <c r="Z5" s="71"/>
      <c r="AA5" s="70">
        <f>ROUND(Z5*$C$5,2)</f>
        <v>0</v>
      </c>
      <c r="AB5" s="71">
        <f t="shared" si="0"/>
        <v>0.99999999999999989</v>
      </c>
      <c r="AC5" s="70">
        <f t="shared" si="1"/>
        <v>0</v>
      </c>
    </row>
    <row r="6" spans="1:29" s="72" customFormat="1" ht="16.5" customHeight="1" x14ac:dyDescent="0.2">
      <c r="A6" s="68" t="s">
        <v>12</v>
      </c>
      <c r="B6" s="69" t="str">
        <f>ORCAMENTO!C39</f>
        <v>Alvenaria</v>
      </c>
      <c r="C6" s="70">
        <f>ROUND(ORCAMENTO!L41*(1+BDI!D39),2)</f>
        <v>0</v>
      </c>
      <c r="D6" s="71"/>
      <c r="E6" s="70">
        <f>ROUND(D6*$C$6,2)</f>
        <v>0</v>
      </c>
      <c r="F6" s="71">
        <v>0.1</v>
      </c>
      <c r="G6" s="70">
        <f>ROUND(F6*$C$6,2)</f>
        <v>0</v>
      </c>
      <c r="H6" s="71">
        <v>0.1</v>
      </c>
      <c r="I6" s="70">
        <f>ROUND(H6*$C$6,2)</f>
        <v>0</v>
      </c>
      <c r="J6" s="71">
        <v>0.1</v>
      </c>
      <c r="K6" s="70">
        <f>ROUND(J6*$C$6,2)</f>
        <v>0</v>
      </c>
      <c r="L6" s="71">
        <v>0.1</v>
      </c>
      <c r="M6" s="70">
        <f>ROUND(L6*$C$6,2)</f>
        <v>0</v>
      </c>
      <c r="N6" s="71">
        <v>0.1</v>
      </c>
      <c r="O6" s="70">
        <f>ROUND(N6*$C$6,2)</f>
        <v>0</v>
      </c>
      <c r="P6" s="71">
        <v>0.1</v>
      </c>
      <c r="Q6" s="70">
        <f>ROUND(P6*$C$6,2)</f>
        <v>0</v>
      </c>
      <c r="R6" s="71">
        <v>0.1</v>
      </c>
      <c r="S6" s="70">
        <f>ROUND(R6*$C$6,2)</f>
        <v>0</v>
      </c>
      <c r="T6" s="71">
        <v>0.1</v>
      </c>
      <c r="U6" s="70">
        <f>ROUND(T6*$C$6,2)</f>
        <v>0</v>
      </c>
      <c r="V6" s="71">
        <v>0.1</v>
      </c>
      <c r="W6" s="70">
        <f>ROUNDDOWN(V6*$C$6,2)</f>
        <v>0</v>
      </c>
      <c r="X6" s="71">
        <v>0.1</v>
      </c>
      <c r="Y6" s="70">
        <f>ROUNDDOWN(X6*$C$6,2)</f>
        <v>0</v>
      </c>
      <c r="Z6" s="71"/>
      <c r="AA6" s="70">
        <f>ROUND(Z6*$C$6,2)</f>
        <v>0</v>
      </c>
      <c r="AB6" s="71">
        <f t="shared" si="0"/>
        <v>0.99999999999999989</v>
      </c>
      <c r="AC6" s="70">
        <f t="shared" si="1"/>
        <v>0</v>
      </c>
    </row>
    <row r="7" spans="1:29" s="72" customFormat="1" ht="16.5" customHeight="1" x14ac:dyDescent="0.2">
      <c r="A7" s="68" t="s">
        <v>14</v>
      </c>
      <c r="B7" s="69" t="str">
        <f>ORCAMENTO!C42</f>
        <v>Revestimento de Piso e Parede</v>
      </c>
      <c r="C7" s="70">
        <f>ROUND(ORCAMENTO!L49*(1+BDI!D39),2)</f>
        <v>0</v>
      </c>
      <c r="D7" s="71"/>
      <c r="E7" s="70">
        <f>ROUND(D7*$C$7,2)</f>
        <v>0</v>
      </c>
      <c r="F7" s="71">
        <v>0.1</v>
      </c>
      <c r="G7" s="70">
        <f>ROUND(F7*$C$7,2)</f>
        <v>0</v>
      </c>
      <c r="H7" s="71">
        <v>0.1</v>
      </c>
      <c r="I7" s="70">
        <f>ROUND(H7*$C$7,2)</f>
        <v>0</v>
      </c>
      <c r="J7" s="71">
        <v>0.1</v>
      </c>
      <c r="K7" s="70">
        <f>ROUND(J7*$C$7,2)</f>
        <v>0</v>
      </c>
      <c r="L7" s="71">
        <v>0.1</v>
      </c>
      <c r="M7" s="70">
        <f>ROUND(L7*$C$7,2)</f>
        <v>0</v>
      </c>
      <c r="N7" s="71">
        <v>0.1</v>
      </c>
      <c r="O7" s="70">
        <f>ROUND(N7*$C$7,2)</f>
        <v>0</v>
      </c>
      <c r="P7" s="71">
        <v>0.1</v>
      </c>
      <c r="Q7" s="70">
        <f>ROUND(P7*$C$7,2)</f>
        <v>0</v>
      </c>
      <c r="R7" s="71">
        <v>0.1</v>
      </c>
      <c r="S7" s="70">
        <f>ROUND(R7*$C$7,2)</f>
        <v>0</v>
      </c>
      <c r="T7" s="71">
        <v>0.1</v>
      </c>
      <c r="U7" s="70">
        <f>ROUND(T7*$C$7,2)</f>
        <v>0</v>
      </c>
      <c r="V7" s="71">
        <v>0.1</v>
      </c>
      <c r="W7" s="70">
        <f>ROUND(V7*$C$7,2)</f>
        <v>0</v>
      </c>
      <c r="X7" s="71">
        <v>0.1</v>
      </c>
      <c r="Y7" s="70">
        <f>ROUNDUP(X7*$C$7,2)</f>
        <v>0</v>
      </c>
      <c r="Z7" s="71"/>
      <c r="AA7" s="70">
        <f>ROUND(Z7*$C$7,2)</f>
        <v>0</v>
      </c>
      <c r="AB7" s="71">
        <f t="shared" si="0"/>
        <v>0.99999999999999989</v>
      </c>
      <c r="AC7" s="70">
        <f t="shared" si="1"/>
        <v>0</v>
      </c>
    </row>
    <row r="8" spans="1:29" s="72" customFormat="1" ht="16.5" customHeight="1" x14ac:dyDescent="0.2">
      <c r="A8" s="68" t="s">
        <v>20</v>
      </c>
      <c r="B8" s="69" t="str">
        <f>ORCAMENTO!C50</f>
        <v>Cobertura</v>
      </c>
      <c r="C8" s="70">
        <f>ROUND(ORCAMENTO!L55*(1+BDI!D39),2)</f>
        <v>0</v>
      </c>
      <c r="D8" s="71"/>
      <c r="E8" s="70">
        <f>ROUND(D8*$C$8,2)</f>
        <v>0</v>
      </c>
      <c r="F8" s="71">
        <v>0.1</v>
      </c>
      <c r="G8" s="70">
        <f>ROUND(F8*$C$8,2)</f>
        <v>0</v>
      </c>
      <c r="H8" s="71">
        <v>0.1</v>
      </c>
      <c r="I8" s="70">
        <f>ROUND(H8*$C$8,2)</f>
        <v>0</v>
      </c>
      <c r="J8" s="71">
        <v>0.1</v>
      </c>
      <c r="K8" s="70">
        <f>ROUND(J8*$C$8,2)</f>
        <v>0</v>
      </c>
      <c r="L8" s="71">
        <v>0.1</v>
      </c>
      <c r="M8" s="70">
        <f>ROUND(L8*$C$8,2)</f>
        <v>0</v>
      </c>
      <c r="N8" s="71">
        <v>0.1</v>
      </c>
      <c r="O8" s="70">
        <f>ROUND(N8*$C$8,2)</f>
        <v>0</v>
      </c>
      <c r="P8" s="71">
        <v>0.1</v>
      </c>
      <c r="Q8" s="70">
        <f>ROUNDDOWN(P8*$C$8,2)</f>
        <v>0</v>
      </c>
      <c r="R8" s="71">
        <v>0.1</v>
      </c>
      <c r="S8" s="70">
        <f>ROUNDDOWN(R8*$C$8,2)</f>
        <v>0</v>
      </c>
      <c r="T8" s="71">
        <v>0.1</v>
      </c>
      <c r="U8" s="70">
        <f>ROUNDDOWN(T8*$C$8,2)</f>
        <v>0</v>
      </c>
      <c r="V8" s="71">
        <v>0.1</v>
      </c>
      <c r="W8" s="70">
        <f>ROUNDDOWN(V8*$C$8,2)</f>
        <v>0</v>
      </c>
      <c r="X8" s="71">
        <v>0.1</v>
      </c>
      <c r="Y8" s="70">
        <f>ROUNDDOWN(X8*$C$8,2)</f>
        <v>0</v>
      </c>
      <c r="Z8" s="71"/>
      <c r="AA8" s="70">
        <f>ROUND(Z8*$C$8,2)</f>
        <v>0</v>
      </c>
      <c r="AB8" s="71">
        <f t="shared" si="0"/>
        <v>0.99999999999999989</v>
      </c>
      <c r="AC8" s="70">
        <f t="shared" si="1"/>
        <v>0</v>
      </c>
    </row>
    <row r="9" spans="1:29" s="72" customFormat="1" ht="16.5" customHeight="1" x14ac:dyDescent="0.2">
      <c r="A9" s="68" t="s">
        <v>26</v>
      </c>
      <c r="B9" s="69" t="str">
        <f>ORCAMENTO!C56</f>
        <v>Esquadrias</v>
      </c>
      <c r="C9" s="70">
        <f>ROUND(ORCAMENTO!L61*(1+BDI!D39),2)</f>
        <v>0</v>
      </c>
      <c r="D9" s="71"/>
      <c r="E9" s="70">
        <f>ROUND(D9*$C$9,2)</f>
        <v>0</v>
      </c>
      <c r="F9" s="71">
        <v>0.1</v>
      </c>
      <c r="G9" s="70">
        <f>ROUND(F9*$C$9,2)</f>
        <v>0</v>
      </c>
      <c r="H9" s="71">
        <v>0.1</v>
      </c>
      <c r="I9" s="70">
        <f>ROUND(H9*$C$9,2)</f>
        <v>0</v>
      </c>
      <c r="J9" s="71">
        <v>0.1</v>
      </c>
      <c r="K9" s="70">
        <f>ROUND(J9*$C$9,2)</f>
        <v>0</v>
      </c>
      <c r="L9" s="71">
        <v>0.1</v>
      </c>
      <c r="M9" s="70">
        <f>ROUND(L9*$C$9,2)</f>
        <v>0</v>
      </c>
      <c r="N9" s="71">
        <v>0.1</v>
      </c>
      <c r="O9" s="70">
        <f>ROUND(N9*$C$9,2)</f>
        <v>0</v>
      </c>
      <c r="P9" s="71">
        <v>0.1</v>
      </c>
      <c r="Q9" s="70">
        <f>ROUND(P9*$C$9,2)</f>
        <v>0</v>
      </c>
      <c r="R9" s="71">
        <v>0.1</v>
      </c>
      <c r="S9" s="70">
        <f>ROUND(R9*$C$9,2)</f>
        <v>0</v>
      </c>
      <c r="T9" s="71">
        <v>0.1</v>
      </c>
      <c r="U9" s="70">
        <f>ROUND(T9*$C$9,2)</f>
        <v>0</v>
      </c>
      <c r="V9" s="71">
        <v>0.1</v>
      </c>
      <c r="W9" s="70">
        <f>ROUNDUP(V9*$C$9,2)</f>
        <v>0</v>
      </c>
      <c r="X9" s="71">
        <v>0.1</v>
      </c>
      <c r="Y9" s="70">
        <f>ROUNDUP(X9*$C$9,2)</f>
        <v>0</v>
      </c>
      <c r="Z9" s="71"/>
      <c r="AA9" s="70">
        <f>ROUND(Z9*$C$9,2)</f>
        <v>0</v>
      </c>
      <c r="AB9" s="71">
        <f t="shared" si="0"/>
        <v>0.99999999999999989</v>
      </c>
      <c r="AC9" s="70">
        <f t="shared" si="1"/>
        <v>0</v>
      </c>
    </row>
    <row r="10" spans="1:29" s="72" customFormat="1" ht="16.5" customHeight="1" x14ac:dyDescent="0.2">
      <c r="A10" s="68" t="s">
        <v>30</v>
      </c>
      <c r="B10" s="69" t="str">
        <f>ORCAMENTO!C62</f>
        <v>Pintura</v>
      </c>
      <c r="C10" s="70">
        <f>ROUND(ORCAMENTO!L65*(1+BDI!D39),2)</f>
        <v>0</v>
      </c>
      <c r="D10" s="71"/>
      <c r="E10" s="70">
        <f>ROUND(D10*$C$10,2)</f>
        <v>0</v>
      </c>
      <c r="F10" s="71"/>
      <c r="G10" s="70">
        <f>ROUND(F10*$C$10,2)</f>
        <v>0</v>
      </c>
      <c r="H10" s="71">
        <v>0.1</v>
      </c>
      <c r="I10" s="70">
        <f>ROUND(H10*$C$10,2)</f>
        <v>0</v>
      </c>
      <c r="J10" s="71">
        <v>0.1</v>
      </c>
      <c r="K10" s="70">
        <f>ROUND(J10*$C$10,2)</f>
        <v>0</v>
      </c>
      <c r="L10" s="71">
        <v>0.1</v>
      </c>
      <c r="M10" s="70">
        <f>ROUND(L10*$C$10,2)</f>
        <v>0</v>
      </c>
      <c r="N10" s="71">
        <v>0.1</v>
      </c>
      <c r="O10" s="70">
        <f>ROUND(N10*$C$10,2)</f>
        <v>0</v>
      </c>
      <c r="P10" s="71">
        <v>0.1</v>
      </c>
      <c r="Q10" s="70">
        <f>ROUND(P10*$C$10,2)</f>
        <v>0</v>
      </c>
      <c r="R10" s="71">
        <v>0.1</v>
      </c>
      <c r="S10" s="70">
        <f>ROUND(R10*$C$10,2)</f>
        <v>0</v>
      </c>
      <c r="T10" s="71">
        <v>0.1</v>
      </c>
      <c r="U10" s="70">
        <f>ROUNDUP(T10*$C$10,2)</f>
        <v>0</v>
      </c>
      <c r="V10" s="71">
        <v>0.1</v>
      </c>
      <c r="W10" s="70">
        <f>ROUNDUP(V10*$C$10,2)</f>
        <v>0</v>
      </c>
      <c r="X10" s="71">
        <v>0.1</v>
      </c>
      <c r="Y10" s="70">
        <f>ROUNDUP(X10*$C$10,2)</f>
        <v>0</v>
      </c>
      <c r="Z10" s="71">
        <v>0.1</v>
      </c>
      <c r="AA10" s="70">
        <f>ROUNDUP(Z10*$C$10,2)</f>
        <v>0</v>
      </c>
      <c r="AB10" s="71">
        <f t="shared" si="0"/>
        <v>0.99999999999999989</v>
      </c>
      <c r="AC10" s="70">
        <f t="shared" si="1"/>
        <v>0</v>
      </c>
    </row>
    <row r="11" spans="1:29" s="72" customFormat="1" ht="16.5" customHeight="1" x14ac:dyDescent="0.2">
      <c r="A11" s="68" t="s">
        <v>34</v>
      </c>
      <c r="B11" s="69" t="str">
        <f>ORCAMENTO!C66</f>
        <v>Aparelhos e metais</v>
      </c>
      <c r="C11" s="70">
        <f>ROUND(ORCAMENTO!L75*(1+BDI!D39),2)</f>
        <v>0</v>
      </c>
      <c r="D11" s="71"/>
      <c r="E11" s="70">
        <f>ROUND(D11*$C$11,2)</f>
        <v>0</v>
      </c>
      <c r="F11" s="71"/>
      <c r="G11" s="70">
        <f>ROUND(F11*$C$11,2)</f>
        <v>0</v>
      </c>
      <c r="H11" s="71">
        <v>0.1</v>
      </c>
      <c r="I11" s="70">
        <f>ROUND(H11*$C$11,2)</f>
        <v>0</v>
      </c>
      <c r="J11" s="71">
        <v>0.1</v>
      </c>
      <c r="K11" s="70">
        <f>ROUND(J11*$C$11,2)</f>
        <v>0</v>
      </c>
      <c r="L11" s="71">
        <v>0.1</v>
      </c>
      <c r="M11" s="70">
        <f>ROUND(L11*$C$11,2)</f>
        <v>0</v>
      </c>
      <c r="N11" s="71">
        <v>0.1</v>
      </c>
      <c r="O11" s="70">
        <f>ROUND(N11*$C$11,2)</f>
        <v>0</v>
      </c>
      <c r="P11" s="71">
        <v>0.1</v>
      </c>
      <c r="Q11" s="70">
        <f>ROUND(P11*$C$11,2)</f>
        <v>0</v>
      </c>
      <c r="R11" s="71">
        <v>0.1</v>
      </c>
      <c r="S11" s="70">
        <f>ROUND(R11*$C$11,2)</f>
        <v>0</v>
      </c>
      <c r="T11" s="71">
        <v>0.1</v>
      </c>
      <c r="U11" s="70">
        <f>ROUNDUP(T11*$C$11,2)</f>
        <v>0</v>
      </c>
      <c r="V11" s="71">
        <v>0.1</v>
      </c>
      <c r="W11" s="70">
        <f>ROUNDUP(V11*$C$11,2)</f>
        <v>0</v>
      </c>
      <c r="X11" s="71">
        <v>0.1</v>
      </c>
      <c r="Y11" s="70">
        <f>ROUNDUP(X11*$C$11,2)</f>
        <v>0</v>
      </c>
      <c r="Z11" s="71">
        <v>0.1</v>
      </c>
      <c r="AA11" s="70">
        <f>ROUNDUP(Z11*$C$11,2)</f>
        <v>0</v>
      </c>
      <c r="AB11" s="71">
        <f t="shared" si="0"/>
        <v>0.99999999999999989</v>
      </c>
      <c r="AC11" s="70">
        <f t="shared" si="1"/>
        <v>0</v>
      </c>
    </row>
    <row r="12" spans="1:29" s="72" customFormat="1" ht="16.5" customHeight="1" x14ac:dyDescent="0.2">
      <c r="A12" s="68" t="s">
        <v>160</v>
      </c>
      <c r="B12" s="69" t="str">
        <f>ORCAMENTO!C76</f>
        <v>Instalações elétricas</v>
      </c>
      <c r="C12" s="70">
        <f>ROUND(ORCAMENTO!L99*(1+BDI!D39),2)</f>
        <v>0</v>
      </c>
      <c r="D12" s="71"/>
      <c r="E12" s="70">
        <f>ROUND(D12*$C$12,2)</f>
        <v>0</v>
      </c>
      <c r="F12" s="71">
        <v>0.1</v>
      </c>
      <c r="G12" s="70">
        <f>ROUND(F12*$C$12,2)</f>
        <v>0</v>
      </c>
      <c r="H12" s="71">
        <v>0.1</v>
      </c>
      <c r="I12" s="70">
        <f>ROUND(H12*$C$12,2)</f>
        <v>0</v>
      </c>
      <c r="J12" s="71">
        <v>0.1</v>
      </c>
      <c r="K12" s="70">
        <f>ROUND(J12*$C$12,2)</f>
        <v>0</v>
      </c>
      <c r="L12" s="71">
        <v>0.1</v>
      </c>
      <c r="M12" s="70">
        <f>ROUND(L12*$C$12,2)</f>
        <v>0</v>
      </c>
      <c r="N12" s="71">
        <v>0.1</v>
      </c>
      <c r="O12" s="70">
        <f>ROUND(N12*$C$12,2)</f>
        <v>0</v>
      </c>
      <c r="P12" s="71">
        <v>0.1</v>
      </c>
      <c r="Q12" s="70">
        <f>ROUND(P12*$C$12,2)</f>
        <v>0</v>
      </c>
      <c r="R12" s="71">
        <v>0.1</v>
      </c>
      <c r="S12" s="70">
        <f>ROUNDUP(R12*$C$12,2)</f>
        <v>0</v>
      </c>
      <c r="T12" s="71">
        <v>0.1</v>
      </c>
      <c r="U12" s="70">
        <f>ROUNDUP(T12*$C$12,2)</f>
        <v>0</v>
      </c>
      <c r="V12" s="71">
        <v>0.1</v>
      </c>
      <c r="W12" s="70">
        <f>ROUNDUP(V12*$C$12,2)</f>
        <v>0</v>
      </c>
      <c r="X12" s="71">
        <v>0.1</v>
      </c>
      <c r="Y12" s="70">
        <f>ROUNDUP(X12*$C$12,2)</f>
        <v>0</v>
      </c>
      <c r="Z12" s="71"/>
      <c r="AA12" s="70"/>
      <c r="AB12" s="71">
        <f t="shared" si="0"/>
        <v>0.99999999999999989</v>
      </c>
      <c r="AC12" s="70">
        <f t="shared" si="1"/>
        <v>0</v>
      </c>
    </row>
    <row r="13" spans="1:29" s="72" customFormat="1" ht="16.5" customHeight="1" x14ac:dyDescent="0.2">
      <c r="A13" s="68" t="s">
        <v>116</v>
      </c>
      <c r="B13" s="69" t="str">
        <f>ORCAMENTO!C100</f>
        <v>Instalações hidráulicas</v>
      </c>
      <c r="C13" s="70">
        <f>ROUND(ORCAMENTO!L124*(1+BDI!D39),2)</f>
        <v>0</v>
      </c>
      <c r="D13" s="71"/>
      <c r="E13" s="70">
        <f>ROUND(D13*$C$13,2)</f>
        <v>0</v>
      </c>
      <c r="F13" s="71">
        <v>0.1</v>
      </c>
      <c r="G13" s="70">
        <f>ROUND(F13*$C$13,2)</f>
        <v>0</v>
      </c>
      <c r="H13" s="71">
        <v>0.1</v>
      </c>
      <c r="I13" s="70">
        <f>ROUND(H13*$C$13,2)</f>
        <v>0</v>
      </c>
      <c r="J13" s="71">
        <v>0.1</v>
      </c>
      <c r="K13" s="70">
        <f>ROUND(J13*$C$13,2)</f>
        <v>0</v>
      </c>
      <c r="L13" s="71">
        <v>0.1</v>
      </c>
      <c r="M13" s="70">
        <f>ROUND(L13*$C$13,2)</f>
        <v>0</v>
      </c>
      <c r="N13" s="71">
        <v>0.1</v>
      </c>
      <c r="O13" s="70">
        <f>ROUND(N13*$C$13,2)</f>
        <v>0</v>
      </c>
      <c r="P13" s="71">
        <v>0.1</v>
      </c>
      <c r="Q13" s="70">
        <f>ROUND(P13*$C$13,2)</f>
        <v>0</v>
      </c>
      <c r="R13" s="71">
        <v>0.1</v>
      </c>
      <c r="S13" s="70">
        <f>ROUNDDOWN(R13*$C$13,2)</f>
        <v>0</v>
      </c>
      <c r="T13" s="71">
        <v>0.1</v>
      </c>
      <c r="U13" s="70">
        <f>ROUNDDOWN(T13*$C$13,2)</f>
        <v>0</v>
      </c>
      <c r="V13" s="71">
        <v>0.1</v>
      </c>
      <c r="W13" s="70">
        <f>ROUNDDOWN(V13*$C$13,2)</f>
        <v>0</v>
      </c>
      <c r="X13" s="71">
        <v>0.1</v>
      </c>
      <c r="Y13" s="70">
        <f>ROUNDDOWN(X13*$C$13,2)</f>
        <v>0</v>
      </c>
      <c r="Z13" s="71"/>
      <c r="AA13" s="70">
        <f>ROUND(Z13*$C$13,2)</f>
        <v>0</v>
      </c>
      <c r="AB13" s="71">
        <f t="shared" si="0"/>
        <v>0.99999999999999989</v>
      </c>
      <c r="AC13" s="70">
        <f t="shared" si="1"/>
        <v>0</v>
      </c>
    </row>
    <row r="14" spans="1:29" s="72" customFormat="1" ht="16.5" customHeight="1" x14ac:dyDescent="0.2">
      <c r="A14" s="68" t="s">
        <v>182</v>
      </c>
      <c r="B14" s="69" t="str">
        <f>ORCAMENTO!C125</f>
        <v>Instalações sanitárias</v>
      </c>
      <c r="C14" s="70">
        <f>ROUND(ORCAMENTO!L144*(1+BDI!D39),2)</f>
        <v>0</v>
      </c>
      <c r="D14" s="71"/>
      <c r="E14" s="70">
        <f>ROUND(D14*$C$14,2)</f>
        <v>0</v>
      </c>
      <c r="F14" s="71">
        <v>0.1</v>
      </c>
      <c r="G14" s="70">
        <f>ROUND(F14*$C$14,2)</f>
        <v>0</v>
      </c>
      <c r="H14" s="71">
        <v>0.1</v>
      </c>
      <c r="I14" s="70">
        <f>ROUND(H14*$C$14,2)</f>
        <v>0</v>
      </c>
      <c r="J14" s="71">
        <v>0.1</v>
      </c>
      <c r="K14" s="70">
        <f>ROUND(J14*$C$14,2)</f>
        <v>0</v>
      </c>
      <c r="L14" s="71">
        <v>0.1</v>
      </c>
      <c r="M14" s="70">
        <f>ROUND(L14*$C$14,2)</f>
        <v>0</v>
      </c>
      <c r="N14" s="71">
        <v>0.1</v>
      </c>
      <c r="O14" s="70">
        <f>ROUND(N14*$C$14,2)</f>
        <v>0</v>
      </c>
      <c r="P14" s="71">
        <v>0.1</v>
      </c>
      <c r="Q14" s="70">
        <f>ROUND(P14*$C$14,2)</f>
        <v>0</v>
      </c>
      <c r="R14" s="71">
        <v>0.1</v>
      </c>
      <c r="S14" s="70">
        <f>ROUND(R14*$C$14,2)</f>
        <v>0</v>
      </c>
      <c r="T14" s="71">
        <v>0.1</v>
      </c>
      <c r="U14" s="70">
        <f>ROUND(T14*$C$14,2)</f>
        <v>0</v>
      </c>
      <c r="V14" s="71">
        <v>0.1</v>
      </c>
      <c r="W14" s="70">
        <f>ROUND(V14*$C$14,2)</f>
        <v>0</v>
      </c>
      <c r="X14" s="71">
        <v>0.1</v>
      </c>
      <c r="Y14" s="70">
        <f>ROUNDDOWN(X14*$C$14,2)</f>
        <v>0</v>
      </c>
      <c r="Z14" s="71"/>
      <c r="AA14" s="70">
        <f>ROUND(Z14*$C$14,2)</f>
        <v>0</v>
      </c>
      <c r="AB14" s="71">
        <f t="shared" si="0"/>
        <v>0.99999999999999989</v>
      </c>
      <c r="AC14" s="70">
        <f t="shared" si="1"/>
        <v>0</v>
      </c>
    </row>
    <row r="15" spans="1:29" s="72" customFormat="1" ht="16.5" customHeight="1" x14ac:dyDescent="0.2">
      <c r="A15" s="68" t="s">
        <v>312</v>
      </c>
      <c r="B15" s="69" t="str">
        <f>ORCAMENTO!C145</f>
        <v>Administração</v>
      </c>
      <c r="C15" s="70">
        <f>ROUND(ORCAMENTO!L148*(1+BDI!D39),2)</f>
        <v>0</v>
      </c>
      <c r="D15" s="71">
        <f>1/12</f>
        <v>8.3333333333333329E-2</v>
      </c>
      <c r="E15" s="70">
        <f>ROUND(D15*$C$15,2)</f>
        <v>0</v>
      </c>
      <c r="F15" s="71">
        <f>$D$15</f>
        <v>8.3333333333333329E-2</v>
      </c>
      <c r="G15" s="70">
        <f>ROUND(F15*$C$15,2)</f>
        <v>0</v>
      </c>
      <c r="H15" s="71">
        <f>$D$15</f>
        <v>8.3333333333333329E-2</v>
      </c>
      <c r="I15" s="70">
        <f>ROUND(H15*$C$15,2)</f>
        <v>0</v>
      </c>
      <c r="J15" s="71">
        <f>1/12</f>
        <v>8.3333333333333329E-2</v>
      </c>
      <c r="K15" s="70">
        <f>ROUND(J15*$C$15,2)</f>
        <v>0</v>
      </c>
      <c r="L15" s="71">
        <f>1/12</f>
        <v>8.3333333333333329E-2</v>
      </c>
      <c r="M15" s="70">
        <f>ROUND(L15*$C$15,2)</f>
        <v>0</v>
      </c>
      <c r="N15" s="71">
        <f>1/12</f>
        <v>8.3333333333333329E-2</v>
      </c>
      <c r="O15" s="70">
        <f>ROUND(N15*$C$15,2)</f>
        <v>0</v>
      </c>
      <c r="P15" s="71">
        <f>1/12</f>
        <v>8.3333333333333329E-2</v>
      </c>
      <c r="Q15" s="70">
        <f>ROUND(P15*$C$15,2)</f>
        <v>0</v>
      </c>
      <c r="R15" s="71">
        <f>1/12</f>
        <v>8.3333333333333329E-2</v>
      </c>
      <c r="S15" s="70">
        <f>ROUND(R15*$C$15,2)</f>
        <v>0</v>
      </c>
      <c r="T15" s="71">
        <f>1/12</f>
        <v>8.3333333333333329E-2</v>
      </c>
      <c r="U15" s="70">
        <f>ROUND(T15*$C$15,2)</f>
        <v>0</v>
      </c>
      <c r="V15" s="71">
        <f>1/12</f>
        <v>8.3333333333333329E-2</v>
      </c>
      <c r="W15" s="70">
        <f>ROUND(V15*$C$15,2)</f>
        <v>0</v>
      </c>
      <c r="X15" s="71">
        <f>1/12</f>
        <v>8.3333333333333329E-2</v>
      </c>
      <c r="Y15" s="70">
        <f>ROUNDUP(X15*$C$15,2)</f>
        <v>0</v>
      </c>
      <c r="Z15" s="71">
        <f>1/12</f>
        <v>8.3333333333333329E-2</v>
      </c>
      <c r="AA15" s="70">
        <f>ROUNDUP(Z15*$C$15,2)</f>
        <v>0</v>
      </c>
      <c r="AB15" s="71">
        <f t="shared" si="0"/>
        <v>1</v>
      </c>
      <c r="AC15" s="70">
        <f t="shared" si="1"/>
        <v>0</v>
      </c>
    </row>
    <row r="16" spans="1:29" s="72" customFormat="1" ht="16.5" customHeight="1" x14ac:dyDescent="0.2">
      <c r="A16" s="68"/>
      <c r="B16" s="73"/>
      <c r="C16" s="74"/>
      <c r="D16" s="76"/>
      <c r="E16" s="75"/>
      <c r="F16" s="76"/>
      <c r="G16" s="75"/>
      <c r="H16" s="76"/>
      <c r="I16" s="75"/>
      <c r="J16" s="76"/>
      <c r="K16" s="75"/>
      <c r="L16" s="76"/>
      <c r="M16" s="75"/>
      <c r="N16" s="76"/>
      <c r="O16" s="75"/>
      <c r="P16" s="76"/>
      <c r="Q16" s="75"/>
      <c r="R16" s="76"/>
      <c r="S16" s="75"/>
      <c r="T16" s="76"/>
      <c r="U16" s="75"/>
      <c r="V16" s="76"/>
      <c r="W16" s="75"/>
      <c r="X16" s="76"/>
      <c r="Y16" s="75"/>
      <c r="Z16" s="76"/>
      <c r="AA16" s="75"/>
      <c r="AB16" s="71"/>
      <c r="AC16" s="75"/>
    </row>
    <row r="17" spans="1:31" s="77" customFormat="1" ht="16.5" customHeight="1" x14ac:dyDescent="0.2">
      <c r="A17" s="135" t="s">
        <v>415</v>
      </c>
      <c r="B17" s="136"/>
      <c r="C17" s="75">
        <f>SUM(C3:C16)</f>
        <v>0</v>
      </c>
      <c r="D17" s="76" t="e">
        <f>ROUND(E17/$C$17,4)</f>
        <v>#DIV/0!</v>
      </c>
      <c r="E17" s="75">
        <f>SUM(E3:E15)</f>
        <v>0</v>
      </c>
      <c r="F17" s="76" t="e">
        <f>ROUND(G17/$C$17,4)</f>
        <v>#DIV/0!</v>
      </c>
      <c r="G17" s="75">
        <f>SUM(G3:G15)</f>
        <v>0</v>
      </c>
      <c r="H17" s="76" t="e">
        <f>ROUND(I17/$C$17,4)</f>
        <v>#DIV/0!</v>
      </c>
      <c r="I17" s="75">
        <f>SUM(I3:I15)</f>
        <v>0</v>
      </c>
      <c r="J17" s="76" t="e">
        <f>ROUND(K17/$C$17,4)</f>
        <v>#DIV/0!</v>
      </c>
      <c r="K17" s="75">
        <f>SUM(K3:K15)</f>
        <v>0</v>
      </c>
      <c r="L17" s="76" t="e">
        <f>ROUND(M17/$C$17,4)</f>
        <v>#DIV/0!</v>
      </c>
      <c r="M17" s="75">
        <f>SUM(M3:M15)</f>
        <v>0</v>
      </c>
      <c r="N17" s="76" t="e">
        <f>ROUND(O17/$C$17,4)</f>
        <v>#DIV/0!</v>
      </c>
      <c r="O17" s="75">
        <f>SUM(O3:O15)</f>
        <v>0</v>
      </c>
      <c r="P17" s="76" t="e">
        <f>ROUND(Q17/$C$17,4)</f>
        <v>#DIV/0!</v>
      </c>
      <c r="Q17" s="75">
        <f>SUM(Q3:Q15)</f>
        <v>0</v>
      </c>
      <c r="R17" s="76" t="e">
        <f>ROUND(S17/$C$17,4)</f>
        <v>#DIV/0!</v>
      </c>
      <c r="S17" s="75">
        <f>SUM(S3:S15)</f>
        <v>0</v>
      </c>
      <c r="T17" s="76" t="e">
        <f>ROUND(U17/$C$17,4)</f>
        <v>#DIV/0!</v>
      </c>
      <c r="U17" s="75">
        <f>SUM(U3:U15)</f>
        <v>0</v>
      </c>
      <c r="V17" s="76" t="e">
        <f>ROUND(W17/$C$17,4)</f>
        <v>#DIV/0!</v>
      </c>
      <c r="W17" s="75">
        <f>SUM(W3:W15)</f>
        <v>0</v>
      </c>
      <c r="X17" s="76" t="e">
        <f>ROUND(Y17/$C$17,4)</f>
        <v>#DIV/0!</v>
      </c>
      <c r="Y17" s="75">
        <f>SUM(Y3:Y15)</f>
        <v>0</v>
      </c>
      <c r="Z17" s="76" t="e">
        <f>ROUND(AA17/$C$17,4)</f>
        <v>#DIV/0!</v>
      </c>
      <c r="AA17" s="75">
        <f>SUM(AA3:AA15)</f>
        <v>0</v>
      </c>
      <c r="AB17" s="71" t="e">
        <f t="shared" ref="AB17" si="2">SUM(H17,F17,D17,J17,L17,N17,P17,R17,T17,V17,X17,Z17)</f>
        <v>#DIV/0!</v>
      </c>
      <c r="AC17" s="75">
        <f>SUM(AC3:AC15)</f>
        <v>0</v>
      </c>
      <c r="AE17" s="97"/>
    </row>
    <row r="18" spans="1:31" s="72" customFormat="1" ht="16.5" customHeight="1" x14ac:dyDescent="0.2">
      <c r="A18" s="135" t="s">
        <v>416</v>
      </c>
      <c r="B18" s="135"/>
      <c r="C18" s="135"/>
      <c r="D18" s="76" t="e">
        <f>ROUND(E18/$C$17,4)</f>
        <v>#DIV/0!</v>
      </c>
      <c r="E18" s="75">
        <f>E17</f>
        <v>0</v>
      </c>
      <c r="F18" s="76" t="e">
        <f>ROUND(G18/$C$17,4)</f>
        <v>#DIV/0!</v>
      </c>
      <c r="G18" s="75">
        <f>G17+E18</f>
        <v>0</v>
      </c>
      <c r="H18" s="76" t="e">
        <f>ROUND(I18/$C$17,4)</f>
        <v>#DIV/0!</v>
      </c>
      <c r="I18" s="75">
        <f>I17+G18</f>
        <v>0</v>
      </c>
      <c r="J18" s="76" t="e">
        <f>ROUND(K18/$C$17,4)</f>
        <v>#DIV/0!</v>
      </c>
      <c r="K18" s="75">
        <f>K17+I18</f>
        <v>0</v>
      </c>
      <c r="L18" s="76" t="e">
        <f>ROUND(M18/$C$17,4)</f>
        <v>#DIV/0!</v>
      </c>
      <c r="M18" s="75">
        <f>M17+K18</f>
        <v>0</v>
      </c>
      <c r="N18" s="76" t="e">
        <f>ROUND(O18/$C$17,4)</f>
        <v>#DIV/0!</v>
      </c>
      <c r="O18" s="75">
        <f>O17+M18</f>
        <v>0</v>
      </c>
      <c r="P18" s="76" t="e">
        <f>ROUND(Q18/$C$17,4)</f>
        <v>#DIV/0!</v>
      </c>
      <c r="Q18" s="75">
        <f>Q17+O18</f>
        <v>0</v>
      </c>
      <c r="R18" s="76" t="e">
        <f>ROUND(S18/$C$17,4)</f>
        <v>#DIV/0!</v>
      </c>
      <c r="S18" s="75">
        <f>S17+Q18</f>
        <v>0</v>
      </c>
      <c r="T18" s="76" t="e">
        <f>ROUND(U18/$C$17,4)</f>
        <v>#DIV/0!</v>
      </c>
      <c r="U18" s="75">
        <f>U17+S18</f>
        <v>0</v>
      </c>
      <c r="V18" s="76" t="e">
        <f>ROUND(W18/$C$17,4)</f>
        <v>#DIV/0!</v>
      </c>
      <c r="W18" s="75">
        <f>W17+U18</f>
        <v>0</v>
      </c>
      <c r="X18" s="76" t="e">
        <f>ROUND(Y18/$C$17,4)</f>
        <v>#DIV/0!</v>
      </c>
      <c r="Y18" s="75">
        <f>Y17+W18</f>
        <v>0</v>
      </c>
      <c r="Z18" s="76" t="e">
        <f>ROUND(AA18/$C$17,4)</f>
        <v>#DIV/0!</v>
      </c>
      <c r="AA18" s="75">
        <f>AA17+Y18</f>
        <v>0</v>
      </c>
      <c r="AB18" s="71" t="e">
        <f>SUM(H18,F18,D18,J18,L18,N18,P18,R18,T18,V18,X18,Z18)</f>
        <v>#DIV/0!</v>
      </c>
      <c r="AC18" s="75">
        <f>AC17</f>
        <v>0</v>
      </c>
    </row>
    <row r="19" spans="1:31" x14ac:dyDescent="0.2">
      <c r="C19" s="65"/>
    </row>
    <row r="22" spans="1:31" x14ac:dyDescent="0.2">
      <c r="AC22" s="80"/>
    </row>
  </sheetData>
  <mergeCells count="18">
    <mergeCell ref="V1:W1"/>
    <mergeCell ref="X1:Y1"/>
    <mergeCell ref="Z1:AA1"/>
    <mergeCell ref="A18:C18"/>
    <mergeCell ref="A17:B17"/>
    <mergeCell ref="AB1:AC1"/>
    <mergeCell ref="D1:E1"/>
    <mergeCell ref="F1:G1"/>
    <mergeCell ref="H1:I1"/>
    <mergeCell ref="C1:C2"/>
    <mergeCell ref="A1:A2"/>
    <mergeCell ref="B1:B2"/>
    <mergeCell ref="J1:K1"/>
    <mergeCell ref="L1:M1"/>
    <mergeCell ref="N1:O1"/>
    <mergeCell ref="P1:Q1"/>
    <mergeCell ref="R1:S1"/>
    <mergeCell ref="T1:U1"/>
  </mergeCells>
  <phoneticPr fontId="20" type="noConversion"/>
  <printOptions horizontalCentered="1"/>
  <pageMargins left="0.39370078740157483" right="0.39370078740157483" top="2.7559055118110236" bottom="1.1811023622047245" header="0" footer="0"/>
  <pageSetup paperSize="9" scale="80" orientation="landscape" r:id="rId1"/>
  <headerFooter alignWithMargins="0">
    <oddHeader>&amp;C
&amp;"Times New Roman,Negrito"&amp;14Cronograma Físico Financeiro
30 Unidades habitacionais de 45,54m2 - 2 Dormitórios&amp;R&amp;G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BDI</vt:lpstr>
      <vt:lpstr>ORCAMENTO</vt:lpstr>
      <vt:lpstr>CRONOGRAMA</vt:lpstr>
      <vt:lpstr>BDI!Area_de_impressao</vt:lpstr>
      <vt:lpstr>CRONOGRAMA!Area_de_impressao</vt:lpstr>
      <vt:lpstr>ORCAMENTO!Area_de_impressao</vt:lpstr>
      <vt:lpstr>CRONOGRAMA!Titulos_de_impressao</vt:lpstr>
      <vt:lpstr>ORCAMENTO!Titulos_de_impressao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Premium</dc:creator>
  <cp:lastModifiedBy>Ouvidor</cp:lastModifiedBy>
  <cp:lastPrinted>2023-11-28T12:24:34Z</cp:lastPrinted>
  <dcterms:created xsi:type="dcterms:W3CDTF">2005-07-30T22:35:56Z</dcterms:created>
  <dcterms:modified xsi:type="dcterms:W3CDTF">2023-12-08T12:17:09Z</dcterms:modified>
</cp:coreProperties>
</file>