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6/SECRETARIA DE OBRAS/RECAPEAMENTO - RECURSO FEDERAL/EDITÁVEL/"/>
    </mc:Choice>
  </mc:AlternateContent>
  <xr:revisionPtr revIDLastSave="0" documentId="8_{55C9F785-8A6D-7B4A-BD86-E9A807ECFDFE}" xr6:coauthVersionLast="47" xr6:coauthVersionMax="47" xr10:uidLastSave="{00000000-0000-0000-0000-000000000000}"/>
  <bookViews>
    <workbookView xWindow="0" yWindow="680" windowWidth="34200" windowHeight="21460" tabRatio="752" xr2:uid="{00000000-000D-0000-FFFF-FFFF00000000}"/>
  </bookViews>
  <sheets>
    <sheet name="Orçamento CBUQ" sheetId="1" r:id="rId1"/>
    <sheet name="Memória Cálculo Orçamento" sheetId="2" r:id="rId2"/>
    <sheet name="Quadro de Áreas" sheetId="3" r:id="rId3"/>
    <sheet name="Composições de Custo" sheetId="4" r:id="rId4"/>
    <sheet name="BDI Serviços" sheetId="5" r:id="rId5"/>
    <sheet name="BDI Reduzido" sheetId="6" r:id="rId6"/>
    <sheet name="Administração Local" sheetId="7" r:id="rId7"/>
    <sheet name="Canteiro de Obra" sheetId="8" r:id="rId8"/>
    <sheet name="Mobilização e Desmobilização" sheetId="9" r:id="rId9"/>
    <sheet name="Cronograma Físico e Financeiro" sheetId="10" r:id="rId10"/>
  </sheets>
  <definedNames>
    <definedName name="_xlnm.Print_Area" localSheetId="3">'Composições de Custo'!$A$1:$G$122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8" i="4" l="1"/>
  <c r="G19" i="4"/>
  <c r="G7" i="4"/>
  <c r="G8" i="4"/>
  <c r="G6" i="4"/>
  <c r="G17" i="4"/>
  <c r="G28" i="4"/>
  <c r="G52" i="4"/>
  <c r="G53" i="4"/>
  <c r="G54" i="4"/>
  <c r="G55" i="4"/>
  <c r="G56" i="4"/>
  <c r="G57" i="4"/>
  <c r="G58" i="4"/>
  <c r="G38" i="4"/>
  <c r="G39" i="4"/>
  <c r="G40" i="4"/>
  <c r="G41" i="4"/>
  <c r="G42" i="4"/>
  <c r="G37" i="4"/>
  <c r="G51" i="4"/>
  <c r="G67" i="4"/>
  <c r="G68" i="4" s="1"/>
  <c r="G70" i="4" s="1"/>
  <c r="G71" i="4" s="1"/>
  <c r="G72" i="4" s="1"/>
  <c r="G76" i="4"/>
  <c r="G77" i="4" s="1"/>
  <c r="G79" i="4" s="1"/>
  <c r="G80" i="4" s="1"/>
  <c r="G81" i="4" s="1"/>
  <c r="G112" i="4"/>
  <c r="G111" i="4"/>
  <c r="G110" i="4"/>
  <c r="G113" i="4"/>
  <c r="G114" i="4"/>
  <c r="G115" i="4"/>
  <c r="G109" i="4"/>
  <c r="G85" i="4"/>
  <c r="G86" i="4" s="1"/>
  <c r="G88" i="4" s="1"/>
  <c r="G89" i="4" s="1"/>
  <c r="G90" i="4" s="1"/>
  <c r="G95" i="4"/>
  <c r="G96" i="4"/>
  <c r="G97" i="4"/>
  <c r="G98" i="4"/>
  <c r="G99" i="4"/>
  <c r="G100" i="4"/>
  <c r="G94" i="4"/>
  <c r="G20" i="4"/>
  <c r="G22" i="4" s="1"/>
  <c r="G23" i="4" s="1"/>
  <c r="G24" i="4" s="1"/>
  <c r="G29" i="4"/>
  <c r="G31" i="4" s="1"/>
  <c r="G32" i="4" s="1"/>
  <c r="G33" i="4" s="1"/>
  <c r="F46" i="1"/>
  <c r="F45" i="1"/>
  <c r="E9" i="9"/>
  <c r="E8" i="9"/>
  <c r="E7" i="9"/>
  <c r="E6" i="9"/>
  <c r="E10" i="8"/>
  <c r="E9" i="8"/>
  <c r="E8" i="8"/>
  <c r="E7" i="8"/>
  <c r="E6" i="8"/>
  <c r="E9" i="7"/>
  <c r="E8" i="7"/>
  <c r="E7" i="7"/>
  <c r="E6" i="7"/>
  <c r="L5" i="6"/>
  <c r="H36" i="1" s="1"/>
  <c r="I36" i="1" s="1"/>
  <c r="L5" i="5"/>
  <c r="H39" i="1" s="1"/>
  <c r="I39" i="1" s="1"/>
  <c r="H13" i="3"/>
  <c r="F24" i="1" s="1"/>
  <c r="C13" i="3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F25" i="2"/>
  <c r="F8" i="2"/>
  <c r="F7" i="2"/>
  <c r="F6" i="2"/>
  <c r="H41" i="1"/>
  <c r="I41" i="1" s="1"/>
  <c r="J41" i="1" s="1"/>
  <c r="H40" i="1"/>
  <c r="I40" i="1" s="1"/>
  <c r="H34" i="1"/>
  <c r="I34" i="1" s="1"/>
  <c r="F30" i="1"/>
  <c r="F15" i="2" s="1"/>
  <c r="H29" i="1"/>
  <c r="I29" i="1" s="1"/>
  <c r="H26" i="1"/>
  <c r="I26" i="1" s="1"/>
  <c r="H25" i="1"/>
  <c r="I25" i="1" s="1"/>
  <c r="F25" i="1"/>
  <c r="F11" i="2" s="1"/>
  <c r="H20" i="1"/>
  <c r="H19" i="1"/>
  <c r="B12" i="1"/>
  <c r="G9" i="4" l="1"/>
  <c r="G11" i="4" s="1"/>
  <c r="G12" i="4" s="1"/>
  <c r="G13" i="4" s="1"/>
  <c r="G59" i="4"/>
  <c r="G61" i="4" s="1"/>
  <c r="G62" i="4" s="1"/>
  <c r="G63" i="4" s="1"/>
  <c r="G116" i="4"/>
  <c r="G118" i="4" s="1"/>
  <c r="G119" i="4" s="1"/>
  <c r="G120" i="4" s="1"/>
  <c r="G101" i="4"/>
  <c r="G103" i="4" s="1"/>
  <c r="G104" i="4" s="1"/>
  <c r="G43" i="4"/>
  <c r="G45" i="4" s="1"/>
  <c r="G46" i="4" s="1"/>
  <c r="G47" i="4" s="1"/>
  <c r="G105" i="4"/>
  <c r="E10" i="9"/>
  <c r="G20" i="1" s="1"/>
  <c r="I20" i="1" s="1"/>
  <c r="J20" i="1" s="1"/>
  <c r="C7" i="10" s="1"/>
  <c r="F7" i="10" s="1"/>
  <c r="E11" i="8"/>
  <c r="G19" i="1" s="1"/>
  <c r="E10" i="7"/>
  <c r="G21" i="1" s="1"/>
  <c r="H30" i="1"/>
  <c r="I30" i="1" s="1"/>
  <c r="J30" i="1" s="1"/>
  <c r="H31" i="1"/>
  <c r="I31" i="1" s="1"/>
  <c r="H35" i="1"/>
  <c r="I35" i="1" s="1"/>
  <c r="H42" i="1"/>
  <c r="I42" i="1" s="1"/>
  <c r="H21" i="1"/>
  <c r="H37" i="1"/>
  <c r="I37" i="1" s="1"/>
  <c r="H45" i="1"/>
  <c r="I45" i="1" s="1"/>
  <c r="J45" i="1" s="1"/>
  <c r="H24" i="1"/>
  <c r="I24" i="1" s="1"/>
  <c r="H38" i="1"/>
  <c r="I38" i="1" s="1"/>
  <c r="H46" i="1"/>
  <c r="I46" i="1" s="1"/>
  <c r="J46" i="1" s="1"/>
  <c r="F29" i="1"/>
  <c r="J29" i="1" s="1"/>
  <c r="I19" i="1"/>
  <c r="J19" i="1" s="1"/>
  <c r="C6" i="10" s="1"/>
  <c r="J24" i="1"/>
  <c r="J31" i="1"/>
  <c r="F31" i="1"/>
  <c r="F16" i="2" s="1"/>
  <c r="J13" i="3"/>
  <c r="F42" i="1" s="1"/>
  <c r="J25" i="1"/>
  <c r="F26" i="1"/>
  <c r="I13" i="3"/>
  <c r="F10" i="2"/>
  <c r="F14" i="2" l="1"/>
  <c r="I21" i="1"/>
  <c r="J21" i="1" s="1"/>
  <c r="C8" i="10" s="1"/>
  <c r="D8" i="10" s="1"/>
  <c r="F8" i="10"/>
  <c r="J44" i="1"/>
  <c r="C12" i="10" s="1"/>
  <c r="F12" i="10" s="1"/>
  <c r="J28" i="1"/>
  <c r="C10" i="10" s="1"/>
  <c r="D10" i="10" s="1"/>
  <c r="D7" i="10"/>
  <c r="H7" i="10" s="1"/>
  <c r="I7" i="10" s="1"/>
  <c r="J42" i="1"/>
  <c r="F26" i="2"/>
  <c r="F6" i="10"/>
  <c r="D6" i="10"/>
  <c r="H6" i="10" s="1"/>
  <c r="F39" i="1"/>
  <c r="F40" i="1"/>
  <c r="F37" i="1"/>
  <c r="F34" i="1"/>
  <c r="F38" i="1"/>
  <c r="F12" i="2"/>
  <c r="J26" i="1"/>
  <c r="J23" i="1" s="1"/>
  <c r="C9" i="10" s="1"/>
  <c r="F10" i="10" l="1"/>
  <c r="H8" i="10"/>
  <c r="I8" i="10" s="1"/>
  <c r="J18" i="1"/>
  <c r="D12" i="10"/>
  <c r="H12" i="10" s="1"/>
  <c r="I12" i="10" s="1"/>
  <c r="H10" i="10"/>
  <c r="I10" i="10" s="1"/>
  <c r="J40" i="1"/>
  <c r="F24" i="2"/>
  <c r="F23" i="2"/>
  <c r="J39" i="1"/>
  <c r="F9" i="10"/>
  <c r="D9" i="10"/>
  <c r="J38" i="1"/>
  <c r="F22" i="2"/>
  <c r="J34" i="1"/>
  <c r="F18" i="2"/>
  <c r="J37" i="1"/>
  <c r="F21" i="2"/>
  <c r="F35" i="1"/>
  <c r="I6" i="10"/>
  <c r="H9" i="10" l="1"/>
  <c r="J35" i="1"/>
  <c r="F19" i="2"/>
  <c r="F36" i="1"/>
  <c r="F20" i="2" l="1"/>
  <c r="J36" i="1"/>
  <c r="J33" i="1" s="1"/>
  <c r="I9" i="10"/>
  <c r="C11" i="10" l="1"/>
  <c r="J48" i="1"/>
  <c r="F11" i="10" l="1"/>
  <c r="F13" i="10" s="1"/>
  <c r="D11" i="10"/>
  <c r="D13" i="10" s="1"/>
  <c r="C13" i="10"/>
  <c r="J51" i="1"/>
  <c r="J49" i="1"/>
  <c r="B13" i="1"/>
  <c r="G13" i="10" l="1"/>
  <c r="F14" i="10"/>
  <c r="E13" i="10"/>
  <c r="D14" i="10"/>
  <c r="H11" i="10"/>
  <c r="I11" i="10" l="1"/>
  <c r="H13" i="10"/>
  <c r="I13" i="10" l="1"/>
  <c r="H14" i="10"/>
</calcChain>
</file>

<file path=xl/sharedStrings.xml><?xml version="1.0" encoding="utf-8"?>
<sst xmlns="http://schemas.openxmlformats.org/spreadsheetml/2006/main" count="751" uniqueCount="362">
  <si>
    <t>PLANILHA ORÇAMENTÁRIA</t>
  </si>
  <si>
    <t>SERVIÇOS DE PAVIMENTAÇÃO — EXECUÇÃO INDIRETA (EMPREITADA POR PREÇO UNITÁRIO)</t>
  </si>
  <si>
    <t>Tabela GOINFRA T331 — Terraplenagem, Pavimentação e OAE — ABR/26 — NÃO DESONERADA (data-base 01/04/2026)  |  Betuminosos: ANP (células em amarelo)</t>
  </si>
  <si>
    <t>Interessado:</t>
  </si>
  <si>
    <t>MUNICÍPIO DE OUVIDOR</t>
  </si>
  <si>
    <t>Tipo de Serviço:</t>
  </si>
  <si>
    <t>RECAPEAMENTO ASFÁLTICO (REPERFILAMENTO)</t>
  </si>
  <si>
    <t>Tipo de Revestimento Asfáltico:</t>
  </si>
  <si>
    <t>CONCRETO BETUMINOSO USINADO A QUENTE (CBUQ) — CAP 50/70, FAIXA C DNIT 145/2012-ES</t>
  </si>
  <si>
    <t>Cidade:</t>
  </si>
  <si>
    <t>OUVIDOR (GO)</t>
  </si>
  <si>
    <t>Local:</t>
  </si>
  <si>
    <t>LOT. JARDIM AMÉRICA, LOT. JARDIM JK E DISTRITO INDUSTRIAL</t>
  </si>
  <si>
    <t>Modalidade de Execução dos Serviços:</t>
  </si>
  <si>
    <t>EXECUÇÃO INDIRETA — EMPREITADA POR PREÇO UNITÁRIO</t>
  </si>
  <si>
    <t>Plano de Ação:</t>
  </si>
  <si>
    <t>09032026-091979/2026 — Programa 09032026 — Emenda 202628330007 (Transferência Especial)</t>
  </si>
  <si>
    <t>Área estimada de revestimento:</t>
  </si>
  <si>
    <t>m²</t>
  </si>
  <si>
    <t>Valor Total do Orçamento:</t>
  </si>
  <si>
    <t>Data:</t>
  </si>
  <si>
    <t>Descrição</t>
  </si>
  <si>
    <t>Código</t>
  </si>
  <si>
    <t>Órgão</t>
  </si>
  <si>
    <t>Unidade</t>
  </si>
  <si>
    <t>DT</t>
  </si>
  <si>
    <t>Qtde</t>
  </si>
  <si>
    <t>Sem</t>
  </si>
  <si>
    <t>Com BDI</t>
  </si>
  <si>
    <t>Total</t>
  </si>
  <si>
    <t>Serviço</t>
  </si>
  <si>
    <t>Auxiliar</t>
  </si>
  <si>
    <t>Tabela</t>
  </si>
  <si>
    <t>km</t>
  </si>
  <si>
    <t>Área</t>
  </si>
  <si>
    <t>BDI</t>
  </si>
  <si>
    <t>Valor Unitário</t>
  </si>
  <si>
    <t>Geral</t>
  </si>
  <si>
    <t>1. Serviços de Instalação do Canteiro de Obras, Mobilização e Desmobilização de Equipamentos e Administração Local</t>
  </si>
  <si>
    <t>1.1 Instalação de Canteiro de Obras</t>
  </si>
  <si>
    <t>42200</t>
  </si>
  <si>
    <t>GOINFRA</t>
  </si>
  <si>
    <t>Verba</t>
  </si>
  <si>
    <t>1.2 Mobilização e Desmobilização de Equipamentos</t>
  </si>
  <si>
    <t>42300</t>
  </si>
  <si>
    <t>1.3 Administração Local da Obra</t>
  </si>
  <si>
    <t>42100</t>
  </si>
  <si>
    <t>2. Serviços Preliminares de Limpeza</t>
  </si>
  <si>
    <t>2.1 Limpeza (Pav. Urbana) — vassoura mecânica e jato de ar</t>
  </si>
  <si>
    <t>44001</t>
  </si>
  <si>
    <t>GOINFRA T331</t>
  </si>
  <si>
    <t>2.2 Carga de entulhos - Pav. Urbana</t>
  </si>
  <si>
    <t>44010</t>
  </si>
  <si>
    <t>m³</t>
  </si>
  <si>
    <t>2.3 Transporte de entulhos - Pav. Urbana (aterro sanitário)</t>
  </si>
  <si>
    <t>44011</t>
  </si>
  <si>
    <t>m³km</t>
  </si>
  <si>
    <t>3. Serviços de Pintura de Ligação</t>
  </si>
  <si>
    <t>3.1 Pintura de ligação (execução)</t>
  </si>
  <si>
    <t>44201</t>
  </si>
  <si>
    <t>3.2 Fornecimento de material betuminoso — Emulsão RR-2C</t>
  </si>
  <si>
    <t>40490</t>
  </si>
  <si>
    <t>GOINFRA/ANP</t>
  </si>
  <si>
    <t>t</t>
  </si>
  <si>
    <t>3.3 Transporte comercial de material betuminoso (RR-2C)</t>
  </si>
  <si>
    <t>40530</t>
  </si>
  <si>
    <t>4. Serviços de Reperfilamento com Concreto Betuminoso Usinado a Quente (CBUQ) — Espessura = 4,0 cm (compactada)</t>
  </si>
  <si>
    <t>4.1 Concreto Betuminoso Usinado a Quente (CBUQ) — usinagem, espalhamento e compactação</t>
  </si>
  <si>
    <t>44204</t>
  </si>
  <si>
    <t>4.2 Fornecimento de material betuminoso (CAP 50/70)</t>
  </si>
  <si>
    <t>40525</t>
  </si>
  <si>
    <t>4.3 Transporte comercial de material betuminoso (CAP 50/70)</t>
  </si>
  <si>
    <t>4.4 Fornecimento de Filer</t>
  </si>
  <si>
    <t>10020</t>
  </si>
  <si>
    <t>kg</t>
  </si>
  <si>
    <t>4.5 Fornecimento de Óleo Combustível BPF (1A) D=1,024 kg/l</t>
  </si>
  <si>
    <t>10032</t>
  </si>
  <si>
    <t>4.6 Fornecimento de Areia Comercial (AC)</t>
  </si>
  <si>
    <t>10081</t>
  </si>
  <si>
    <t>4.7 Fornecimento de Brita Comercial (BC)</t>
  </si>
  <si>
    <t>10082</t>
  </si>
  <si>
    <t>4.8 Transporte comercial de agregados</t>
  </si>
  <si>
    <t>40455</t>
  </si>
  <si>
    <t>4.9 Transporte comercial da massa asfáltica (CBUQ)</t>
  </si>
  <si>
    <t>40460</t>
  </si>
  <si>
    <t>tkm</t>
  </si>
  <si>
    <t>5. Sinalização Viária</t>
  </si>
  <si>
    <t>5.1 Sinalização horizontal com resina acrílica, e = 0,6 mm (eixo, bordos, travessias e legendas — Manual CONTRAN Vol. IV)</t>
  </si>
  <si>
    <t>40815</t>
  </si>
  <si>
    <t>5.2 Sinalização vertical totalmente refletiva — película Tipo I, incl. placa, suporte e implantação (Res. CONTRAN 180/2005 Vol. I)</t>
  </si>
  <si>
    <t>40851</t>
  </si>
  <si>
    <t>CUSTO TOTAL DA PAVIMENTAÇÃO COM BDI:</t>
  </si>
  <si>
    <t>Custo Unitário da Obra (m²):</t>
  </si>
  <si>
    <t>Teto do Plano de Ação (investimento):</t>
  </si>
  <si>
    <t>Saldo em relação ao teto:</t>
  </si>
  <si>
    <t>OBS.:</t>
  </si>
  <si>
    <t>1. Os reparos superficiais e profundos (tapa-buracos e correções de base) serão executados pela equipe da Secretaria Municipal de Obras, Serviços Públicos, Habitação e Urbanismo, conforme Memorial Descritivo — por isso não constam deste orçamento.</t>
  </si>
  <si>
    <t>2. O material britado é procedente de pedreira em Pires Belo (GO) - BR-050, com DMT de agregados de 0,0 km (usina situada na mesma área da pedreira) e DMT da massa asfáltica de 49,5 km até Ouvidor (GO).</t>
  </si>
  <si>
    <t>3. A Emulsão Asfáltica RR-2C é procedente de Aparecida de Goiânia (GO), com DMT de 285,0 km com destino a Ouvidor (GO). Taxa: 0,5 l/m² (diluição 1:1), conforme Memorial Descritivo.</t>
  </si>
  <si>
    <t>4. O CAP 50/70 é procedente de Aparecida de Goiânia (GO), com DMT de 287,0 km com destino à usina em Pires Belo (GO). Teor de ligante: 5,2% sobre a massa de agregados.</t>
  </si>
  <si>
    <t>5. Materiais betuminosos: Preços Médios Mensais Ponderados dos Distribuidores - ANP, Região Centro-Oeste, ref. MAIO/2026 (última divulgada): CAP 50/70 = R$ 4.169,44/t e RR-2C = R$ 3.694,26/t, sem ICMS, PIS/COFINS e frete. Acrescido ICMS-GO de 19% por dentro (valor/0,81): CAP = R$ 5.147,45/t e RR-2C = R$ 4.560,82/t. PIS/COFINS integram o BDI reduzido e o frete é item próprio. Atualizar (células em amarelo) para o mês vigente na data do certame e conferir a alíquota/benefício de ICMS aplicável.</t>
  </si>
  <si>
    <t>6. Preços de serviços: Tabela GOINFRA T331 - ABR/26, Não Desonerada (data-base 01/04/2026). A T331 divulga os preços de serviço COM BDI de 27,21%; nesta planilha foram convertidos a custo direto (divisão por 1,2721) e receberam o BDI municipal desta obra.</t>
  </si>
  <si>
    <t>7. O BDI do material betuminoso é reduzido, de 11,63% - Não Desonerado (referencial GOINFRA 06/2026: reduzido de 18,98% com ISS de 3%; adotado o critério municipal com ISS zero por se tratar de mero fornecimento, conforme padrão do Município).</t>
  </si>
  <si>
    <t>8. O BDI dos serviços é de 20,06% (fórmula TCU, ISS efetivo municipal de 2,4%) e encontra-se inserido nos preços unitários - Não Desonerado. Referencial GOINFRA 06/2026: 27,21% (ISS de 3% - Portaria 68/2025). O BDI municipal adotado é inferior ao estadual, a favor da Administração.</t>
  </si>
  <si>
    <t>9. (*) Canteiro (42200), Administração Local (42100) e Mobilização (42301) orçados por demonstrativos próprios anexos, elaborados com os custos unitários e o método dos demonstrativos oficiais da T331, por se tratar de obra urbana de pequeno porte (as faixas prontas A1/A2 da T331 referem-se a obras rodoviárias de maior vulto).</t>
  </si>
  <si>
    <t>10. Teto do Plano de Ação 09032026-091979/2026: R$ 895.500,00 (investimento — Emenda 202628330007). O orçamento reflete preços de tabela e quantitativos de projeto; caso o total supere o teto após a atualização dos preços oficiais, a adequação se fará pela redução de quantitativo/trecho no Quadro de Áreas, nunca pelo ajuste artificial de preços.</t>
  </si>
  <si>
    <t>MEMÓRIA DE CÁLCULO DO ORÇAMENTO</t>
  </si>
  <si>
    <t>Reperfilamento Asfáltico CBUQ e = 4,0 cm — Plano de Ação 09032026-091979/2026  |  Data: 15/07/2026</t>
  </si>
  <si>
    <t>Descrição do Serviço</t>
  </si>
  <si>
    <t>Unid.</t>
  </si>
  <si>
    <t>DT / Taxa</t>
  </si>
  <si>
    <t>Memória de Cálculo</t>
  </si>
  <si>
    <t>CONFORME DEMONSTRAÇÃO ANEXA (aba Canteiro de Obra)</t>
  </si>
  <si>
    <t>CONFORME DEMONSTRAÇÃO ANEXA (aba Mobilização e Desmobilização)</t>
  </si>
  <si>
    <t>CONFORME DEMONSTRAÇÃO ANEXA (aba Administração Local)</t>
  </si>
  <si>
    <t>2.1 Limpeza (Pav. Urbana)</t>
  </si>
  <si>
    <t>11.209,40 m² (Quadro de Áreas)</t>
  </si>
  <si>
    <t>0,02</t>
  </si>
  <si>
    <t>11.209,40 m² x 2,0 cm/100 = 224,19 m³</t>
  </si>
  <si>
    <t>2.3 Transporte de entulhos - Pav. Urbana</t>
  </si>
  <si>
    <t>11,6</t>
  </si>
  <si>
    <t>224,19 m³ x 11,60 km = 2.600,60 m³km (aterro sanitário de Ouvidor)</t>
  </si>
  <si>
    <t>3.2 Fornecimento de Emulsão RR-2C</t>
  </si>
  <si>
    <t>0,0005</t>
  </si>
  <si>
    <t>11.209,40 m² x 0,5 kg/m² / 1.000 = 5,60 t (taxa 0,5 l/m², diluição 1:1 — Memorial Descritivo)</t>
  </si>
  <si>
    <t>285</t>
  </si>
  <si>
    <t>5,60 t x (R$ 2,13/tkm x 285 km = R$ 607,05/t) — DISBRAL, Aparecida de Goiânia → Ouvidor</t>
  </si>
  <si>
    <t>4. Serviços de Reperfilamento com CBUQ — Espessura = 4,0 cm (compactada)</t>
  </si>
  <si>
    <t>4.1 Concreto Betuminoso Usinado a Quente (CBUQ)</t>
  </si>
  <si>
    <t>0,04</t>
  </si>
  <si>
    <t>11.209,40 m² x 4,0 cm/100 = 448,38 m³</t>
  </si>
  <si>
    <t>0,052</t>
  </si>
  <si>
    <t>(26.902,80 kg/1.000 + 107,61 m³ x 1,5 + 731,76 m³ x 1,4) x 5,2% = 63,06 t</t>
  </si>
  <si>
    <t>287</t>
  </si>
  <si>
    <t>63,06 t x (R$ 2,13/tkm x 287 km = R$ 611,31/t) — DISBRAL, Aparecida de Goiânia → usina em Pires Belo</t>
  </si>
  <si>
    <t>60</t>
  </si>
  <si>
    <t>448,38 m³ x 60,0 kg/m³ = 26.902,80 kg</t>
  </si>
  <si>
    <t>24</t>
  </si>
  <si>
    <t>448,38 m³ x 24,0 kg/m³ = 10.761,12 kg</t>
  </si>
  <si>
    <t>0,24</t>
  </si>
  <si>
    <t>448,38 m³ x 0,240 m³/m³ = 107,61 m³</t>
  </si>
  <si>
    <t>1,632</t>
  </si>
  <si>
    <t>448,38 m³ x 1,632 m³/m³ = 731,76 m³</t>
  </si>
  <si>
    <t>0</t>
  </si>
  <si>
    <t>0,00 m³km (a usina está dentro da pedreira — Pires Belo/BR-050)</t>
  </si>
  <si>
    <t>49,5</t>
  </si>
  <si>
    <t>448,38 m³ x 2,4 t/m³ x 49,50 km — DMT usina Pires Belo → Ouvidor</t>
  </si>
  <si>
    <t>5.1 Sinalização horizontal com resina acrílica e = 0,6 mm</t>
  </si>
  <si>
    <t>5.2 Sinalização vertical totalmente refletiva (película Tipo I)</t>
  </si>
  <si>
    <t>Consumos e DMTs conforme Memorial Descritivo e Declarações de Localização (15/07/2026). Densidade CBUQ: 2,4 t/m³; teor de CAP: 5,2%.</t>
  </si>
  <si>
    <t>QUADRO DE ÁREAS</t>
  </si>
  <si>
    <t>Reperfilamento Asfáltico com Concreto Betuminoso Usinado a Quente (CBUQ) — e = 4,0 cm  |  Data: 15/07/2026</t>
  </si>
  <si>
    <t>LOGRADOURO</t>
  </si>
  <si>
    <t>BAIRRO/SETOR</t>
  </si>
  <si>
    <t>EXTENSÃO (m)</t>
  </si>
  <si>
    <t>LARGURA MÉDIA (m)</t>
  </si>
  <si>
    <t>TRECHO - INÍCIO</t>
  </si>
  <si>
    <t>TRECHO - TÉRMINO</t>
  </si>
  <si>
    <t>ESPESSURA (m)</t>
  </si>
  <si>
    <t>ÁREA (m²)</t>
  </si>
  <si>
    <t>VOLUME (m³)</t>
  </si>
  <si>
    <t>PESO (t)</t>
  </si>
  <si>
    <t>RUA A</t>
  </si>
  <si>
    <t>DISTRITO INDUSTRIAL</t>
  </si>
  <si>
    <t>RODOVIA GO-530</t>
  </si>
  <si>
    <t>FINAL DA RUA</t>
  </si>
  <si>
    <t>AVENIDA DO LAGO</t>
  </si>
  <si>
    <t>JARDIM AMÉRICA</t>
  </si>
  <si>
    <t>RUA J.A. 02</t>
  </si>
  <si>
    <t>RUA J.A. 05</t>
  </si>
  <si>
    <t>RUA CRISTALINA</t>
  </si>
  <si>
    <t>RUA J.A. 07</t>
  </si>
  <si>
    <t>RUA 05</t>
  </si>
  <si>
    <t>RUA 06</t>
  </si>
  <si>
    <t>RUA 07</t>
  </si>
  <si>
    <t>RUA ITUMBIARA</t>
  </si>
  <si>
    <t>JARDIM JK</t>
  </si>
  <si>
    <t>RUA FRANCISCO MARTINS DE ALMEIDA</t>
  </si>
  <si>
    <t>FIM DA RUA</t>
  </si>
  <si>
    <t>TOTAL:</t>
  </si>
  <si>
    <t>Áreas conforme Projetos de Reperfilamento 01/03 a 03/03 e Planilha REV_01 (levantamento Topcon GTS 229W in loco). Densidade do CBUQ compactado: 2,4 t/m³.</t>
  </si>
  <si>
    <t>COMPOSIÇÕES DE CUSTO UNITÁRIO DOS SERVIÇOS</t>
  </si>
  <si>
    <t>Transcritas do Relatório de Composição do Serviço — GOINFRA T331 ABR/26, Não Desonerada (data-base 01/04/2026)</t>
  </si>
  <si>
    <t>Serviço 44001 — LIMPEZA (PAV. URB.)   |   Unidade: m²</t>
  </si>
  <si>
    <t>Grupo</t>
  </si>
  <si>
    <t>Unid./Parâm.</t>
  </si>
  <si>
    <t>Vl. Horário / Unit. (R$)</t>
  </si>
  <si>
    <t>Consumo</t>
  </si>
  <si>
    <t>Custo (R$)</t>
  </si>
  <si>
    <t>(A) EQUIPAMENTO</t>
  </si>
  <si>
    <t>Motoniveladora CAT 120K ou equivalente</t>
  </si>
  <si>
    <t>30046</t>
  </si>
  <si>
    <t>h — Ut.Pr 1,00</t>
  </si>
  <si>
    <t>1,00</t>
  </si>
  <si>
    <t>(B) MÃO DE OBRA</t>
  </si>
  <si>
    <t>Encarregado de serviço</t>
  </si>
  <si>
    <t>20002</t>
  </si>
  <si>
    <t>h — R$ 29,74</t>
  </si>
  <si>
    <t>0,10</t>
  </si>
  <si>
    <t>Servente</t>
  </si>
  <si>
    <t>20031</t>
  </si>
  <si>
    <t>h — R$ 23,18</t>
  </si>
  <si>
    <t>2,00</t>
  </si>
  <si>
    <t>Custo Horário da Execução (A)+(B)+(C)</t>
  </si>
  <si>
    <t>(D) Produção da Equipe</t>
  </si>
  <si>
    <t>(E) Custo Unitário da Execução [(A)+(B)+(C)]/(D)</t>
  </si>
  <si>
    <t>CUSTO DIRETO TOTAL (E)+(F)+(G)+(H) — ADOTADO NO ORÇAMENTO (Sem BDI)</t>
  </si>
  <si>
    <t>Preço T331 (com BDI GOINFRA de 27,21%) — referencial</t>
  </si>
  <si>
    <t>Serviço 44010 — CARGA DE ENTULHOS (PAV. URB.)   |   Unidade: m³</t>
  </si>
  <si>
    <t>Carregadeira de pneus CAT 924H ou equivalente</t>
  </si>
  <si>
    <t>30010</t>
  </si>
  <si>
    <t>3,00</t>
  </si>
  <si>
    <t>Serviço 44011 — TRANSPORTE DE ENTULHOS (PAV. URB.)   |   Unidade: m³km</t>
  </si>
  <si>
    <t>Caminhão basculante 10 m³ - 15 t</t>
  </si>
  <si>
    <t>30037</t>
  </si>
  <si>
    <t>Serviço 44201 — PINTURA DE LIGAÇÃO (PAV. URB.)   |   Unidade: m²</t>
  </si>
  <si>
    <t>Caminhão tanque distribuidor de asfalto</t>
  </si>
  <si>
    <t>30021</t>
  </si>
  <si>
    <t>Tanque de estocagem de asfalto (30.000 l)</t>
  </si>
  <si>
    <t>30020</t>
  </si>
  <si>
    <t>Trator de pneus agrícola MF 4292 ou equivalente</t>
  </si>
  <si>
    <t>30005</t>
  </si>
  <si>
    <t>h — Ut.Pr 0,47</t>
  </si>
  <si>
    <t>Vassoura mecânica rebocável</t>
  </si>
  <si>
    <t>30017</t>
  </si>
  <si>
    <t>0,50</t>
  </si>
  <si>
    <t>Serviço 44204 — CONCRETO BETUMINOSO USINADO À QUENTE - CBUQ (PAV. URB.)   |   Unidade: m³</t>
  </si>
  <si>
    <t>Rolo compactador de pneus autopropelido 27 t</t>
  </si>
  <si>
    <t>30015</t>
  </si>
  <si>
    <t>h — Ut.Pr 0,52</t>
  </si>
  <si>
    <t>Rolo liso tandem 10 t</t>
  </si>
  <si>
    <t>30012</t>
  </si>
  <si>
    <t>h — Ut.Pr 0,24</t>
  </si>
  <si>
    <t>Vibroacabadora de asfalto sobre esteiras</t>
  </si>
  <si>
    <t>30023</t>
  </si>
  <si>
    <t>h — Ut.Pr 0,79</t>
  </si>
  <si>
    <t>8,00</t>
  </si>
  <si>
    <t>(G) SERVIÇOS AUXILIARES</t>
  </si>
  <si>
    <t>Usinagem de CBUQ - Faixa C</t>
  </si>
  <si>
    <t>42496</t>
  </si>
  <si>
    <t>1,02</t>
  </si>
  <si>
    <t>Serviço 40455 — TRANSPORTE COMERCIAL DE AGREGADOS   |   Unidade: m³km</t>
  </si>
  <si>
    <t>Serviço 40460 — TRANSPORTE COMERCIAL DE MASSA   |   Unidade: tkm</t>
  </si>
  <si>
    <t>Serviço 40530 — TRANSPORTE COMERCIAL DE MATERIAL BETUMINOSO   |   Unidade: tkm</t>
  </si>
  <si>
    <t>Serviço 40815 — SINALIZAÇÃO HORIZONTAL COM RESINA ACRÍLICA (0,6 mm)   |   Unidade: m²</t>
  </si>
  <si>
    <t>Caminhão para pintura a frio com demarcador de faixas</t>
  </si>
  <si>
    <t>30049</t>
  </si>
  <si>
    <t>Ajudante</t>
  </si>
  <si>
    <t>20003</t>
  </si>
  <si>
    <t>h — R$ 24,46</t>
  </si>
  <si>
    <t>10,00</t>
  </si>
  <si>
    <t>(F) MATERIAIS</t>
  </si>
  <si>
    <t>Microesferas refletivas de vidro</t>
  </si>
  <si>
    <t>10027</t>
  </si>
  <si>
    <t>0,47</t>
  </si>
  <si>
    <t>Solvente / diluente</t>
  </si>
  <si>
    <t>10050</t>
  </si>
  <si>
    <t>l</t>
  </si>
  <si>
    <t>0,03</t>
  </si>
  <si>
    <t>Tinta para pré-marcação</t>
  </si>
  <si>
    <t>10059</t>
  </si>
  <si>
    <t>0,0009</t>
  </si>
  <si>
    <t>Tinta refletiva acrílica</t>
  </si>
  <si>
    <t>10061</t>
  </si>
  <si>
    <t>0,60</t>
  </si>
  <si>
    <t>Serviço 40851 — SINALIZAÇÃO VERTICAL TOTALMENTE REFLETIVA (TIPO I)   |   Unidade: m²</t>
  </si>
  <si>
    <t>Caminhão carroceria de madeira 15 t</t>
  </si>
  <si>
    <t>30035</t>
  </si>
  <si>
    <t>h — Ut.Pr 0,50</t>
  </si>
  <si>
    <t>Carpinteiro</t>
  </si>
  <si>
    <t>20016</t>
  </si>
  <si>
    <t>h — R$ 30,01</t>
  </si>
  <si>
    <t>0,90</t>
  </si>
  <si>
    <t>0,30</t>
  </si>
  <si>
    <t>Película retrorrefletiva - Tipo I</t>
  </si>
  <si>
    <t>10136</t>
  </si>
  <si>
    <t>1,40</t>
  </si>
  <si>
    <t>Placa p/ sinalização em chapa nº 16 c/ pintura eletrostática</t>
  </si>
  <si>
    <t>10039</t>
  </si>
  <si>
    <t>Pontalete em madeira de lei (8,0 x 8,0 cm) tratado</t>
  </si>
  <si>
    <t>10042</t>
  </si>
  <si>
    <t>m</t>
  </si>
  <si>
    <t>Fornecimentos de material betuminoso (40490 - RR-2C e 40525 - CAP 50/70) não possuem composição na T331 (preço zerado na tabela): são orçados pelo preço médio ANP - Centro-Oeste acrescido de ICMS-GO, conforme OBS 5 do Orçamento. No orçamento desta obra aplica-se sobre o CUSTO DIRETO o BDI municipal (20,06% serviços / 11,63% betuminosos), e não o BDI referencial GOINFRA.</t>
  </si>
  <si>
    <t>DEMONSTRATIVO DO BDI SERVIÇOS</t>
  </si>
  <si>
    <t>Acórdão nº 2.622/2013 - TCU - Plenário  |  Data: 15/07/2026</t>
  </si>
  <si>
    <t>(1) Adm. Central</t>
  </si>
  <si>
    <t>(2) Lucro</t>
  </si>
  <si>
    <t>(3) Desp. Financeiras</t>
  </si>
  <si>
    <t>(4) Seguros + Garantias</t>
  </si>
  <si>
    <t>(5) Riscos</t>
  </si>
  <si>
    <t>(6) ISSQN</t>
  </si>
  <si>
    <t>(7) PIS</t>
  </si>
  <si>
    <t>(8) COFINS</t>
  </si>
  <si>
    <t>(9) CPRB</t>
  </si>
  <si>
    <t>(*) Resultado</t>
  </si>
  <si>
    <t>BDI ESTIMATIVO</t>
  </si>
  <si>
    <t>(0) O custo referente à administração local será alocado na planilha orçamentária como custo direto da obra, conforme orientação do Acórdão nº 2.622/2013 – TCU – Plenário.</t>
  </si>
  <si>
    <t>(1) Valor adotado e praticado no mercado.</t>
  </si>
  <si>
    <t>(2) Valores definidos a partir dos limites no Acórdão nº 2.622/2013 - TCU – Plenário. Valores médios.</t>
  </si>
  <si>
    <t>(3) Valor calculado pela expressão matemática do DNIT: CF = ((1+SELIC)1/12 x (1+INFL)1/12) - 1</t>
  </si>
  <si>
    <t>(4) Valores definidos a partir dos limites no Acórdão nº 2.622/2013 - TCU – Plenário. Valores médios.</t>
  </si>
  <si>
    <t>(5) Valores definidos a partir dos limites no Acórdão nº 2.622/2013 - TCU – Plenário. Valores médios.</t>
  </si>
  <si>
    <t>(6) Alíquota efetiva de 2,4% conforme Declaração do Município de Ouvidor: ISSQN de 4,0% com base de cálculo reduzida em 40% (Código Tributário Municipal).</t>
  </si>
  <si>
    <t>(7) Alíquota definida por lei (lucro presumido).</t>
  </si>
  <si>
    <t>(8) Alíquota definida por lei (Contribuição para financiamento social).</t>
  </si>
  <si>
    <t>(9) CPRB igual a zero — regime NÃO DESONERADO (Tabela GOINFRA Não Desonerada).</t>
  </si>
  <si>
    <t>(*) BDI = [(1 + AC + S + R + G) x (1 + DF) x (1 + L)] / (1 - I) - 1, fórmula do Acórdão nº 2.622/2013 – TCU – Plenário.</t>
  </si>
  <si>
    <t>DEMONSTRATIVO DO BDI REDUZIDO - PRODUTOS ASFÁLTICOS</t>
  </si>
  <si>
    <t>(6) Alíquota igual a zero, pois trata-se de produto (mero fornecimento).</t>
  </si>
  <si>
    <t>COMPOSIÇÃO DE PREÇO UNITÁRIO</t>
  </si>
  <si>
    <t>Demonstrativo de Administração Local (custos unitários: demonstrativo Adm. Local T331) - Código 42100* - Tabela GOINFRA Não Desonerada (data-base vigente - conferir)</t>
  </si>
  <si>
    <t>Data: 15/07/2026</t>
  </si>
  <si>
    <t>Custo Unitário</t>
  </si>
  <si>
    <t>Custo Total</t>
  </si>
  <si>
    <t>Engenheiro de Produção / Civil (Eng. Júnior)</t>
  </si>
  <si>
    <t>mês</t>
  </si>
  <si>
    <t>Laboratorista de Betumes</t>
  </si>
  <si>
    <t>Auxiliar de Laboratorista</t>
  </si>
  <si>
    <t>Veículo Leve (incluso combustível)</t>
  </si>
  <si>
    <t>CUSTO TOTAL (SEM BDI)</t>
  </si>
  <si>
    <t>Custos unitários estimados para a data-base vigente — conferir com a Tabela GOINFRA atual antes do protocolo.</t>
  </si>
  <si>
    <t>Demonstrativo de Instalação de Canteiro de Obra (custos unitários: demonstrativo Canteiro T331) - Código 42200* - Tabela GOINFRA Não Desonerada (data-base vigente - conferir)</t>
  </si>
  <si>
    <t>Escritório urbano (cidade)</t>
  </si>
  <si>
    <t>Placa de Obra (padrão emenda parlamentar/Transferegov) — 3,00 x 2,00 m</t>
  </si>
  <si>
    <t>Banheiro químico (com lavatório)</t>
  </si>
  <si>
    <t>un/mês</t>
  </si>
  <si>
    <t>Sinalização de obra — placas de desvio / pare-siga</t>
  </si>
  <si>
    <t>Cone de sinalização (desvio)</t>
  </si>
  <si>
    <t>un</t>
  </si>
  <si>
    <t>Demonstrativo de Mobilização e Desmobilização (método do demonstrativo T331: custo horário/60 x FU; DT adotado 245 km — Goiânia; qtde = 2 ciclos x DT) - Código 42301 - Tabela GOINFRA Não Desonerada (data-base vigente - conferir)</t>
  </si>
  <si>
    <t>Rebocados em caminhão prancha (30105: R$ 424,48/h): vibroacabadora, 2 rolos de pneus, 2 rolos lisos e carregadeira — 6 equip. x FU 0,50 = R$ 21,22/km</t>
  </si>
  <si>
    <t>Mini-carregadeira com vassoura de 1,8 m — FU 0,33 = R$ 2,33/km</t>
  </si>
  <si>
    <t>Autopropelidos: caminhão espargidor (R$ 5,31/km) + 2 caminhões basculantes 10 m³ (R$ 5,57/km cada) = R$ 16,45/km</t>
  </si>
  <si>
    <t>Efetivo pessoal mobilizado — 8 operários x R$ 99,47 x 2 ciclos</t>
  </si>
  <si>
    <t>vb</t>
  </si>
  <si>
    <t>CRONOGRAMA FÍSICO E FINANCEIRO</t>
  </si>
  <si>
    <t>Reperfilamento Asfáltico CBUQ — Ouvidor (GO) — Prazo de execução da obra: 90 dias  |  Data: 15/07/2026</t>
  </si>
  <si>
    <t>Item</t>
  </si>
  <si>
    <t>Total com BDI (R$)</t>
  </si>
  <si>
    <t>30 Dias</t>
  </si>
  <si>
    <t>60 Dias</t>
  </si>
  <si>
    <t>90 Dias</t>
  </si>
  <si>
    <t>Valor (R$)</t>
  </si>
  <si>
    <t>%</t>
  </si>
  <si>
    <t>1</t>
  </si>
  <si>
    <t>Instalação do Canteiro de Obras</t>
  </si>
  <si>
    <t>2</t>
  </si>
  <si>
    <t>Mobilização e Desmobilização de Equipamentos</t>
  </si>
  <si>
    <t>3</t>
  </si>
  <si>
    <t>Administração Local da Obra</t>
  </si>
  <si>
    <t>4</t>
  </si>
  <si>
    <t>Serviços Preliminares de Limpeza</t>
  </si>
  <si>
    <t>5</t>
  </si>
  <si>
    <t>Serviços de Pintura de Ligação</t>
  </si>
  <si>
    <t>6</t>
  </si>
  <si>
    <t>Reperfilamento com CBUQ e = 4,0 cm</t>
  </si>
  <si>
    <t>7</t>
  </si>
  <si>
    <t>Sinalização Viária</t>
  </si>
  <si>
    <t>TOTAL DO PERÍODO</t>
  </si>
  <si>
    <t>ACUMULADO</t>
  </si>
  <si>
    <t>Legenda PARE : 6 x 2,75m²/unid + Linha de Retenção (LRE) : 6 x 1,4m²/unid + Linha de Aproximação (LAP) : 6 x 1,8m²/unid = 35,70 m²</t>
  </si>
  <si>
    <t xml:space="preserve">6 placas x 0,50 m² = 3,00 m²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</si>
</sst>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"/>
    <numFmt numFmtId="165" formatCode="#,##0.00##"/>
    <numFmt numFmtId="166" formatCode="#,##0.0000"/>
  </numFmts>
  <fonts count="12" x14ac:knownFonts="1">
    <font>
      <sz val="11"/>
      <color theme="1"/>
      <name val="Calibri"/>
      <family val="2"/>
      <charset val="1"/>
    </font>
    <font>
      <b/>
      <sz val="9"/>
      <name val="Times New Roman"/>
      <charset val="1"/>
    </font>
    <font>
      <sz val="9"/>
      <name val="Times New Roman"/>
      <charset val="1"/>
    </font>
    <font>
      <sz val="9"/>
      <color rgb="FF008000"/>
      <name val="Times New Roman"/>
      <charset val="1"/>
    </font>
    <font>
      <sz val="9"/>
      <color rgb="FF0000FF"/>
      <name val="Times New Roman"/>
      <charset val="1"/>
    </font>
    <font>
      <i/>
      <sz val="8"/>
      <name val="Times New Roman"/>
      <charset val="1"/>
    </font>
    <font>
      <b/>
      <sz val="12"/>
      <name val="Times New Roman"/>
      <family val="1"/>
    </font>
    <font>
      <sz val="11"/>
      <name val="Calibri"/>
      <family val="2"/>
      <charset val="1"/>
    </font>
    <font>
      <b/>
      <sz val="9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i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C6E0B4"/>
        <bgColor rgb="FFDCE6F1"/>
      </patternFill>
    </fill>
    <fill>
      <patternFill patternType="solid">
        <fgColor rgb="FFF2F2F2"/>
        <bgColor rgb="FFFFF2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5" fillId="0" borderId="0" xfId="0" applyFont="1"/>
    <xf numFmtId="4" fontId="2" fillId="0" borderId="1" xfId="0" applyNumberFormat="1" applyFont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" fontId="4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>
      <alignment horizontal="right" vertical="center"/>
    </xf>
    <xf numFmtId="10" fontId="2" fillId="0" borderId="1" xfId="0" applyNumberFormat="1" applyFon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8" fillId="0" borderId="0" xfId="0" applyFont="1"/>
    <xf numFmtId="4" fontId="8" fillId="0" borderId="0" xfId="0" applyNumberFormat="1" applyFont="1"/>
    <xf numFmtId="164" fontId="9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/>
    <xf numFmtId="164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0" fontId="9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10" fillId="4" borderId="1" xfId="0" applyFont="1" applyFill="1" applyBorder="1" applyAlignment="1">
      <alignment horizontal="right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8" fillId="5" borderId="1" xfId="0" applyFont="1" applyFill="1" applyBorder="1"/>
    <xf numFmtId="0" fontId="7" fillId="5" borderId="1" xfId="0" applyFont="1" applyFill="1" applyBorder="1"/>
    <xf numFmtId="0" fontId="11" fillId="0" borderId="0" xfId="0" applyFont="1"/>
    <xf numFmtId="2" fontId="9" fillId="0" borderId="1" xfId="0" applyNumberFormat="1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11" fillId="0" borderId="0" xfId="0" applyFont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1" fillId="2" borderId="1" xfId="0" applyFont="1" applyFill="1" applyBorder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/>
    <xf numFmtId="0" fontId="6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FF2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view="pageBreakPreview" zoomScaleNormal="100" zoomScaleSheetLayoutView="100" workbookViewId="0">
      <selection activeCell="O14" sqref="O14"/>
    </sheetView>
  </sheetViews>
  <sheetFormatPr baseColWidth="10" defaultColWidth="8.6640625" defaultRowHeight="15" x14ac:dyDescent="0.2"/>
  <cols>
    <col min="1" max="1" width="58" style="27" customWidth="1"/>
    <col min="2" max="2" width="11.1640625" style="27" bestFit="1" customWidth="1"/>
    <col min="3" max="3" width="11" style="27" customWidth="1"/>
    <col min="4" max="4" width="7" style="27" customWidth="1"/>
    <col min="5" max="5" width="9" style="27" customWidth="1"/>
    <col min="6" max="6" width="11" style="27" customWidth="1"/>
    <col min="7" max="7" width="12" style="27" customWidth="1"/>
    <col min="8" max="8" width="8" style="27" customWidth="1"/>
    <col min="9" max="9" width="12" style="27" customWidth="1"/>
    <col min="10" max="10" width="14.6640625" style="27" bestFit="1" customWidth="1"/>
    <col min="11" max="16384" width="8.6640625" style="27"/>
  </cols>
  <sheetData>
    <row r="1" spans="1:10" ht="1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1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5" spans="1:10" x14ac:dyDescent="0.2">
      <c r="A5" s="28" t="s">
        <v>3</v>
      </c>
      <c r="B5" s="59" t="s">
        <v>4</v>
      </c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28" t="s">
        <v>5</v>
      </c>
      <c r="B6" s="59" t="s">
        <v>6</v>
      </c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28" t="s">
        <v>7</v>
      </c>
      <c r="B7" s="59" t="s">
        <v>8</v>
      </c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28" t="s">
        <v>9</v>
      </c>
      <c r="B8" s="59" t="s">
        <v>10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28" t="s">
        <v>11</v>
      </c>
      <c r="B9" s="59" t="s">
        <v>12</v>
      </c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28" t="s">
        <v>13</v>
      </c>
      <c r="B10" s="59" t="s">
        <v>14</v>
      </c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28" t="s">
        <v>15</v>
      </c>
      <c r="B11" s="59" t="s">
        <v>16</v>
      </c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28" t="s">
        <v>17</v>
      </c>
      <c r="B12" s="30">
        <f>'Quadro de Áreas'!$H$13</f>
        <v>11209.4</v>
      </c>
      <c r="C12" s="29" t="s">
        <v>18</v>
      </c>
    </row>
    <row r="13" spans="1:10" x14ac:dyDescent="0.2">
      <c r="A13" s="28" t="s">
        <v>19</v>
      </c>
      <c r="B13" s="31">
        <f>J48</f>
        <v>0</v>
      </c>
    </row>
    <row r="14" spans="1:10" x14ac:dyDescent="0.2">
      <c r="A14" s="28" t="s">
        <v>20</v>
      </c>
      <c r="B14" s="29"/>
    </row>
    <row r="16" spans="1:10" ht="15" customHeight="1" x14ac:dyDescent="0.2">
      <c r="A16" s="32" t="s">
        <v>21</v>
      </c>
      <c r="B16" s="32" t="s">
        <v>22</v>
      </c>
      <c r="C16" s="32" t="s">
        <v>23</v>
      </c>
      <c r="D16" s="57" t="s">
        <v>24</v>
      </c>
      <c r="E16" s="32" t="s">
        <v>25</v>
      </c>
      <c r="F16" s="32" t="s">
        <v>26</v>
      </c>
      <c r="G16" s="32" t="s">
        <v>27</v>
      </c>
      <c r="H16" s="57" t="s">
        <v>28</v>
      </c>
      <c r="I16" s="57"/>
      <c r="J16" s="32" t="s">
        <v>29</v>
      </c>
    </row>
    <row r="17" spans="1:10" x14ac:dyDescent="0.2">
      <c r="A17" s="32" t="s">
        <v>30</v>
      </c>
      <c r="B17" s="32" t="s">
        <v>31</v>
      </c>
      <c r="C17" s="32" t="s">
        <v>32</v>
      </c>
      <c r="D17" s="57"/>
      <c r="E17" s="32" t="s">
        <v>33</v>
      </c>
      <c r="F17" s="32" t="s">
        <v>34</v>
      </c>
      <c r="G17" s="32" t="s">
        <v>35</v>
      </c>
      <c r="H17" s="32" t="s">
        <v>35</v>
      </c>
      <c r="I17" s="32" t="s">
        <v>36</v>
      </c>
      <c r="J17" s="32" t="s">
        <v>37</v>
      </c>
    </row>
    <row r="18" spans="1:10" x14ac:dyDescent="0.2">
      <c r="A18" s="33" t="s">
        <v>38</v>
      </c>
      <c r="B18" s="34"/>
      <c r="C18" s="34"/>
      <c r="D18" s="34"/>
      <c r="E18" s="34"/>
      <c r="F18" s="34"/>
      <c r="G18" s="34"/>
      <c r="H18" s="34"/>
      <c r="I18" s="34"/>
      <c r="J18" s="35">
        <f>SUM(J19:J21)</f>
        <v>0</v>
      </c>
    </row>
    <row r="19" spans="1:10" ht="24" customHeight="1" x14ac:dyDescent="0.2">
      <c r="A19" s="36" t="s">
        <v>39</v>
      </c>
      <c r="B19" s="37" t="s">
        <v>40</v>
      </c>
      <c r="C19" s="37" t="s">
        <v>41</v>
      </c>
      <c r="D19" s="37" t="s">
        <v>42</v>
      </c>
      <c r="E19" s="34"/>
      <c r="F19" s="38">
        <v>1</v>
      </c>
      <c r="G19" s="39">
        <f>'Canteiro de Obra'!$E$11</f>
        <v>0</v>
      </c>
      <c r="H19" s="40">
        <f>'BDI Serviços'!$L$5</f>
        <v>0.20060134273549757</v>
      </c>
      <c r="I19" s="41">
        <f>ROUND(G19*(1+H19),2)</f>
        <v>0</v>
      </c>
      <c r="J19" s="41">
        <f>ROUND(F19*I19,2)</f>
        <v>0</v>
      </c>
    </row>
    <row r="20" spans="1:10" ht="24" customHeight="1" x14ac:dyDescent="0.2">
      <c r="A20" s="36" t="s">
        <v>43</v>
      </c>
      <c r="B20" s="37" t="s">
        <v>44</v>
      </c>
      <c r="C20" s="37" t="s">
        <v>41</v>
      </c>
      <c r="D20" s="37" t="s">
        <v>42</v>
      </c>
      <c r="E20" s="34"/>
      <c r="F20" s="38">
        <v>1</v>
      </c>
      <c r="G20" s="39">
        <f>'Mobilização e Desmobilização'!$E$10</f>
        <v>0</v>
      </c>
      <c r="H20" s="40">
        <f>'BDI Serviços'!$L$5</f>
        <v>0.20060134273549757</v>
      </c>
      <c r="I20" s="41">
        <f>ROUND(G20*(1+H20),2)</f>
        <v>0</v>
      </c>
      <c r="J20" s="41">
        <f>ROUND(F20*I20,2)</f>
        <v>0</v>
      </c>
    </row>
    <row r="21" spans="1:10" ht="24" customHeight="1" x14ac:dyDescent="0.2">
      <c r="A21" s="36" t="s">
        <v>45</v>
      </c>
      <c r="B21" s="37" t="s">
        <v>46</v>
      </c>
      <c r="C21" s="37" t="s">
        <v>41</v>
      </c>
      <c r="D21" s="37" t="s">
        <v>42</v>
      </c>
      <c r="E21" s="34"/>
      <c r="F21" s="38">
        <v>1</v>
      </c>
      <c r="G21" s="39">
        <f>'Administração Local'!$E$10</f>
        <v>0</v>
      </c>
      <c r="H21" s="40">
        <f>'BDI Serviços'!$L$5</f>
        <v>0.20060134273549757</v>
      </c>
      <c r="I21" s="41">
        <f>ROUND(G21*(1+H21),2)</f>
        <v>0</v>
      </c>
      <c r="J21" s="41">
        <f>ROUND(F21*I21,2)</f>
        <v>0</v>
      </c>
    </row>
    <row r="23" spans="1:10" x14ac:dyDescent="0.2">
      <c r="A23" s="33" t="s">
        <v>47</v>
      </c>
      <c r="B23" s="34"/>
      <c r="C23" s="34"/>
      <c r="D23" s="34"/>
      <c r="E23" s="34"/>
      <c r="F23" s="34"/>
      <c r="G23" s="34"/>
      <c r="H23" s="34"/>
      <c r="I23" s="34"/>
      <c r="J23" s="35">
        <f>SUM(J24:J26)</f>
        <v>0</v>
      </c>
    </row>
    <row r="24" spans="1:10" ht="24" customHeight="1" x14ac:dyDescent="0.2">
      <c r="A24" s="36" t="s">
        <v>48</v>
      </c>
      <c r="B24" s="37" t="s">
        <v>49</v>
      </c>
      <c r="C24" s="37" t="s">
        <v>50</v>
      </c>
      <c r="D24" s="37" t="s">
        <v>18</v>
      </c>
      <c r="E24" s="34"/>
      <c r="F24" s="38">
        <f>'Quadro de Áreas'!$H$13</f>
        <v>11209.4</v>
      </c>
      <c r="G24" s="42"/>
      <c r="H24" s="40">
        <f>'BDI Serviços'!$L$5</f>
        <v>0.20060134273549757</v>
      </c>
      <c r="I24" s="41">
        <f>ROUND(G24*(1+H24),2)</f>
        <v>0</v>
      </c>
      <c r="J24" s="41">
        <f>ROUND(F24*I24,2)</f>
        <v>0</v>
      </c>
    </row>
    <row r="25" spans="1:10" ht="24" customHeight="1" x14ac:dyDescent="0.2">
      <c r="A25" s="36" t="s">
        <v>51</v>
      </c>
      <c r="B25" s="37" t="s">
        <v>52</v>
      </c>
      <c r="C25" s="37" t="s">
        <v>50</v>
      </c>
      <c r="D25" s="37" t="s">
        <v>53</v>
      </c>
      <c r="E25" s="43">
        <v>0.02</v>
      </c>
      <c r="F25" s="38">
        <f>ROUND('Quadro de Áreas'!$H$13*0.02,2)</f>
        <v>224.19</v>
      </c>
      <c r="G25" s="42"/>
      <c r="H25" s="40">
        <f>'BDI Serviços'!$L$5</f>
        <v>0.20060134273549757</v>
      </c>
      <c r="I25" s="41">
        <f>ROUND(G25*(1+H25),2)</f>
        <v>0</v>
      </c>
      <c r="J25" s="41">
        <f>ROUND(F25*I25,2)</f>
        <v>0</v>
      </c>
    </row>
    <row r="26" spans="1:10" ht="24" customHeight="1" x14ac:dyDescent="0.2">
      <c r="A26" s="36" t="s">
        <v>54</v>
      </c>
      <c r="B26" s="37" t="s">
        <v>55</v>
      </c>
      <c r="C26" s="37" t="s">
        <v>50</v>
      </c>
      <c r="D26" s="37" t="s">
        <v>56</v>
      </c>
      <c r="E26" s="43">
        <v>11.6</v>
      </c>
      <c r="F26" s="38">
        <f>ROUND(F25*11.6,2)</f>
        <v>2600.6</v>
      </c>
      <c r="G26" s="42"/>
      <c r="H26" s="40">
        <f>'BDI Serviços'!$L$5</f>
        <v>0.20060134273549757</v>
      </c>
      <c r="I26" s="41">
        <f>ROUND(G26*(1+H26),2)</f>
        <v>0</v>
      </c>
      <c r="J26" s="41">
        <f>ROUND(F26*I26,2)</f>
        <v>0</v>
      </c>
    </row>
    <row r="28" spans="1:10" x14ac:dyDescent="0.2">
      <c r="A28" s="33" t="s">
        <v>57</v>
      </c>
      <c r="B28" s="34"/>
      <c r="C28" s="34"/>
      <c r="D28" s="34"/>
      <c r="E28" s="34"/>
      <c r="F28" s="34"/>
      <c r="G28" s="34"/>
      <c r="H28" s="34"/>
      <c r="I28" s="34"/>
      <c r="J28" s="35">
        <f>SUM(J29:J31)</f>
        <v>0</v>
      </c>
    </row>
    <row r="29" spans="1:10" ht="24" customHeight="1" x14ac:dyDescent="0.2">
      <c r="A29" s="36" t="s">
        <v>58</v>
      </c>
      <c r="B29" s="37" t="s">
        <v>59</v>
      </c>
      <c r="C29" s="37" t="s">
        <v>50</v>
      </c>
      <c r="D29" s="37" t="s">
        <v>18</v>
      </c>
      <c r="E29" s="34"/>
      <c r="F29" s="38">
        <f>'Quadro de Áreas'!$H$13</f>
        <v>11209.4</v>
      </c>
      <c r="G29" s="42"/>
      <c r="H29" s="40">
        <f>'BDI Serviços'!$L$5</f>
        <v>0.20060134273549757</v>
      </c>
      <c r="I29" s="41">
        <f>ROUND(G29*(1+H29),2)</f>
        <v>0</v>
      </c>
      <c r="J29" s="41">
        <f>ROUND(F29*I29,2)</f>
        <v>0</v>
      </c>
    </row>
    <row r="30" spans="1:10" ht="24" customHeight="1" x14ac:dyDescent="0.2">
      <c r="A30" s="36" t="s">
        <v>60</v>
      </c>
      <c r="B30" s="37" t="s">
        <v>61</v>
      </c>
      <c r="C30" s="37" t="s">
        <v>62</v>
      </c>
      <c r="D30" s="37" t="s">
        <v>63</v>
      </c>
      <c r="E30" s="43">
        <v>5.0000000000000001E-4</v>
      </c>
      <c r="F30" s="38">
        <f>ROUND('Quadro de Áreas'!$H$13*0.5/1000,2)</f>
        <v>5.6</v>
      </c>
      <c r="G30" s="42"/>
      <c r="H30" s="40">
        <f>'BDI Reduzido'!$L$5</f>
        <v>0.11629302042553213</v>
      </c>
      <c r="I30" s="41">
        <f>ROUND(G30*(1+H30),2)</f>
        <v>0</v>
      </c>
      <c r="J30" s="41">
        <f>ROUND(F30*I30,2)</f>
        <v>0</v>
      </c>
    </row>
    <row r="31" spans="1:10" ht="24" customHeight="1" x14ac:dyDescent="0.2">
      <c r="A31" s="36" t="s">
        <v>64</v>
      </c>
      <c r="B31" s="37" t="s">
        <v>65</v>
      </c>
      <c r="C31" s="37" t="s">
        <v>50</v>
      </c>
      <c r="D31" s="37" t="s">
        <v>63</v>
      </c>
      <c r="E31" s="43">
        <v>285</v>
      </c>
      <c r="F31" s="38">
        <f>F30</f>
        <v>5.6</v>
      </c>
      <c r="G31" s="42"/>
      <c r="H31" s="40">
        <f>'BDI Reduzido'!$L$5</f>
        <v>0.11629302042553213</v>
      </c>
      <c r="I31" s="41">
        <f>ROUND(G31*(1+H31),2)</f>
        <v>0</v>
      </c>
      <c r="J31" s="41">
        <f>ROUND(F31*I31,2)</f>
        <v>0</v>
      </c>
    </row>
    <row r="33" spans="1:10" x14ac:dyDescent="0.2">
      <c r="A33" s="33" t="s">
        <v>66</v>
      </c>
      <c r="B33" s="34"/>
      <c r="C33" s="34"/>
      <c r="D33" s="34"/>
      <c r="E33" s="34"/>
      <c r="F33" s="34"/>
      <c r="G33" s="34"/>
      <c r="H33" s="34"/>
      <c r="I33" s="34"/>
      <c r="J33" s="35">
        <f>SUM(J34:J42)</f>
        <v>0</v>
      </c>
    </row>
    <row r="34" spans="1:10" ht="24" customHeight="1" x14ac:dyDescent="0.2">
      <c r="A34" s="36" t="s">
        <v>67</v>
      </c>
      <c r="B34" s="37" t="s">
        <v>68</v>
      </c>
      <c r="C34" s="37" t="s">
        <v>50</v>
      </c>
      <c r="D34" s="37" t="s">
        <v>53</v>
      </c>
      <c r="E34" s="43">
        <v>0.04</v>
      </c>
      <c r="F34" s="38">
        <f>'Quadro de Áreas'!$I$13</f>
        <v>448.38</v>
      </c>
      <c r="G34" s="42"/>
      <c r="H34" s="40">
        <f>'BDI Serviços'!$L$5</f>
        <v>0.20060134273549757</v>
      </c>
      <c r="I34" s="41">
        <f t="shared" ref="I34:I42" si="0">ROUND(G34*(1+H34),2)</f>
        <v>0</v>
      </c>
      <c r="J34" s="41">
        <f t="shared" ref="J34:J42" si="1">ROUND(F34*I34,2)</f>
        <v>0</v>
      </c>
    </row>
    <row r="35" spans="1:10" ht="24" customHeight="1" x14ac:dyDescent="0.2">
      <c r="A35" s="36" t="s">
        <v>69</v>
      </c>
      <c r="B35" s="37" t="s">
        <v>70</v>
      </c>
      <c r="C35" s="37" t="s">
        <v>62</v>
      </c>
      <c r="D35" s="37" t="s">
        <v>63</v>
      </c>
      <c r="E35" s="43">
        <v>5.1999999999999998E-2</v>
      </c>
      <c r="F35" s="38">
        <f>ROUND((F37/1000+F39*1.5+F40*1.4)*0.052,2)</f>
        <v>63.06</v>
      </c>
      <c r="G35" s="42"/>
      <c r="H35" s="40">
        <f>'BDI Reduzido'!$L$5</f>
        <v>0.11629302042553213</v>
      </c>
      <c r="I35" s="41">
        <f t="shared" si="0"/>
        <v>0</v>
      </c>
      <c r="J35" s="41">
        <f t="shared" si="1"/>
        <v>0</v>
      </c>
    </row>
    <row r="36" spans="1:10" ht="24" customHeight="1" x14ac:dyDescent="0.2">
      <c r="A36" s="36" t="s">
        <v>71</v>
      </c>
      <c r="B36" s="37" t="s">
        <v>65</v>
      </c>
      <c r="C36" s="37" t="s">
        <v>50</v>
      </c>
      <c r="D36" s="37" t="s">
        <v>63</v>
      </c>
      <c r="E36" s="43">
        <v>287</v>
      </c>
      <c r="F36" s="38">
        <f>F35</f>
        <v>63.06</v>
      </c>
      <c r="G36" s="42"/>
      <c r="H36" s="40">
        <f>'BDI Reduzido'!$L$5</f>
        <v>0.11629302042553213</v>
      </c>
      <c r="I36" s="41">
        <f t="shared" si="0"/>
        <v>0</v>
      </c>
      <c r="J36" s="41">
        <f t="shared" si="1"/>
        <v>0</v>
      </c>
    </row>
    <row r="37" spans="1:10" ht="24" customHeight="1" x14ac:dyDescent="0.2">
      <c r="A37" s="36" t="s">
        <v>72</v>
      </c>
      <c r="B37" s="37" t="s">
        <v>73</v>
      </c>
      <c r="C37" s="37" t="s">
        <v>50</v>
      </c>
      <c r="D37" s="37" t="s">
        <v>74</v>
      </c>
      <c r="E37" s="43">
        <v>60</v>
      </c>
      <c r="F37" s="38">
        <f>ROUND('Quadro de Áreas'!$I$13*60,2)</f>
        <v>26902.799999999999</v>
      </c>
      <c r="G37" s="39">
        <v>0</v>
      </c>
      <c r="H37" s="40">
        <f>'BDI Serviços'!$L$5</f>
        <v>0.20060134273549757</v>
      </c>
      <c r="I37" s="41">
        <f t="shared" si="0"/>
        <v>0</v>
      </c>
      <c r="J37" s="41">
        <f t="shared" si="1"/>
        <v>0</v>
      </c>
    </row>
    <row r="38" spans="1:10" ht="24" customHeight="1" x14ac:dyDescent="0.2">
      <c r="A38" s="36" t="s">
        <v>75</v>
      </c>
      <c r="B38" s="37" t="s">
        <v>76</v>
      </c>
      <c r="C38" s="37" t="s">
        <v>50</v>
      </c>
      <c r="D38" s="37" t="s">
        <v>74</v>
      </c>
      <c r="E38" s="43">
        <v>24</v>
      </c>
      <c r="F38" s="38">
        <f>ROUND('Quadro de Áreas'!$I$13*24,2)</f>
        <v>10761.12</v>
      </c>
      <c r="G38" s="39">
        <v>0</v>
      </c>
      <c r="H38" s="40">
        <f>'BDI Serviços'!$L$5</f>
        <v>0.20060134273549757</v>
      </c>
      <c r="I38" s="41">
        <f t="shared" si="0"/>
        <v>0</v>
      </c>
      <c r="J38" s="41">
        <f t="shared" si="1"/>
        <v>0</v>
      </c>
    </row>
    <row r="39" spans="1:10" ht="24" customHeight="1" x14ac:dyDescent="0.2">
      <c r="A39" s="36" t="s">
        <v>77</v>
      </c>
      <c r="B39" s="37" t="s">
        <v>78</v>
      </c>
      <c r="C39" s="37" t="s">
        <v>50</v>
      </c>
      <c r="D39" s="37" t="s">
        <v>53</v>
      </c>
      <c r="E39" s="43">
        <v>0.24</v>
      </c>
      <c r="F39" s="38">
        <f>ROUND('Quadro de Áreas'!$I$13*0.24,2)</f>
        <v>107.61</v>
      </c>
      <c r="G39" s="39">
        <v>0</v>
      </c>
      <c r="H39" s="40">
        <f>'BDI Serviços'!$L$5</f>
        <v>0.20060134273549757</v>
      </c>
      <c r="I39" s="41">
        <f t="shared" si="0"/>
        <v>0</v>
      </c>
      <c r="J39" s="41">
        <f t="shared" si="1"/>
        <v>0</v>
      </c>
    </row>
    <row r="40" spans="1:10" ht="24" customHeight="1" x14ac:dyDescent="0.2">
      <c r="A40" s="36" t="s">
        <v>79</v>
      </c>
      <c r="B40" s="37" t="s">
        <v>80</v>
      </c>
      <c r="C40" s="37" t="s">
        <v>50</v>
      </c>
      <c r="D40" s="37" t="s">
        <v>53</v>
      </c>
      <c r="E40" s="43">
        <v>1.6319999999999999</v>
      </c>
      <c r="F40" s="38">
        <f>ROUND('Quadro de Áreas'!$I$13*1.632,2)</f>
        <v>731.76</v>
      </c>
      <c r="G40" s="39">
        <v>0</v>
      </c>
      <c r="H40" s="40">
        <f>'BDI Serviços'!$L$5</f>
        <v>0.20060134273549757</v>
      </c>
      <c r="I40" s="41">
        <f t="shared" si="0"/>
        <v>0</v>
      </c>
      <c r="J40" s="41">
        <f t="shared" si="1"/>
        <v>0</v>
      </c>
    </row>
    <row r="41" spans="1:10" ht="24" customHeight="1" x14ac:dyDescent="0.2">
      <c r="A41" s="36" t="s">
        <v>81</v>
      </c>
      <c r="B41" s="37" t="s">
        <v>82</v>
      </c>
      <c r="C41" s="37" t="s">
        <v>50</v>
      </c>
      <c r="D41" s="37" t="s">
        <v>56</v>
      </c>
      <c r="E41" s="43">
        <v>0</v>
      </c>
      <c r="F41" s="38">
        <v>0</v>
      </c>
      <c r="G41" s="42"/>
      <c r="H41" s="40">
        <f>'BDI Serviços'!$L$5</f>
        <v>0.20060134273549757</v>
      </c>
      <c r="I41" s="41">
        <f t="shared" si="0"/>
        <v>0</v>
      </c>
      <c r="J41" s="41">
        <f t="shared" si="1"/>
        <v>0</v>
      </c>
    </row>
    <row r="42" spans="1:10" ht="24" customHeight="1" x14ac:dyDescent="0.2">
      <c r="A42" s="36" t="s">
        <v>83</v>
      </c>
      <c r="B42" s="37" t="s">
        <v>84</v>
      </c>
      <c r="C42" s="37" t="s">
        <v>50</v>
      </c>
      <c r="D42" s="37" t="s">
        <v>85</v>
      </c>
      <c r="E42" s="43">
        <v>49.5</v>
      </c>
      <c r="F42" s="38">
        <f>ROUND('Quadro de Áreas'!$J$13*49.5,2)</f>
        <v>53267.45</v>
      </c>
      <c r="G42" s="42"/>
      <c r="H42" s="40">
        <f>'BDI Serviços'!$L$5</f>
        <v>0.20060134273549757</v>
      </c>
      <c r="I42" s="41">
        <f t="shared" si="0"/>
        <v>0</v>
      </c>
      <c r="J42" s="41">
        <f t="shared" si="1"/>
        <v>0</v>
      </c>
    </row>
    <row r="44" spans="1:10" x14ac:dyDescent="0.2">
      <c r="A44" s="33" t="s">
        <v>86</v>
      </c>
      <c r="B44" s="34"/>
      <c r="C44" s="34"/>
      <c r="D44" s="34"/>
      <c r="E44" s="34"/>
      <c r="F44" s="34"/>
      <c r="G44" s="34"/>
      <c r="H44" s="34"/>
      <c r="I44" s="34"/>
      <c r="J44" s="35">
        <f>SUM(J45:J46)</f>
        <v>0</v>
      </c>
    </row>
    <row r="45" spans="1:10" ht="24" customHeight="1" x14ac:dyDescent="0.2">
      <c r="A45" s="36" t="s">
        <v>87</v>
      </c>
      <c r="B45" s="37" t="s">
        <v>88</v>
      </c>
      <c r="C45" s="37" t="s">
        <v>50</v>
      </c>
      <c r="D45" s="37" t="s">
        <v>18</v>
      </c>
      <c r="E45" s="34"/>
      <c r="F45" s="38">
        <f>'Memória Cálculo Orçamento'!F28</f>
        <v>35.700000000000003</v>
      </c>
      <c r="G45" s="42"/>
      <c r="H45" s="40">
        <f>'BDI Serviços'!$L$5</f>
        <v>0.20060134273549757</v>
      </c>
      <c r="I45" s="41">
        <f>ROUND(G45*(1+H45),2)</f>
        <v>0</v>
      </c>
      <c r="J45" s="41">
        <f>ROUND(F45*I45,2)</f>
        <v>0</v>
      </c>
    </row>
    <row r="46" spans="1:10" ht="24" customHeight="1" x14ac:dyDescent="0.2">
      <c r="A46" s="36" t="s">
        <v>89</v>
      </c>
      <c r="B46" s="37" t="s">
        <v>90</v>
      </c>
      <c r="C46" s="37" t="s">
        <v>50</v>
      </c>
      <c r="D46" s="37" t="s">
        <v>18</v>
      </c>
      <c r="E46" s="34"/>
      <c r="F46" s="38">
        <f>'Memória Cálculo Orçamento'!F29</f>
        <v>3</v>
      </c>
      <c r="G46" s="42"/>
      <c r="H46" s="40">
        <f>'BDI Serviços'!$L$5</f>
        <v>0.20060134273549757</v>
      </c>
      <c r="I46" s="41">
        <f>ROUND(G46*(1+H46),2)</f>
        <v>0</v>
      </c>
      <c r="J46" s="41">
        <f>ROUND(F46*I46,2)</f>
        <v>0</v>
      </c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5" t="s">
        <v>91</v>
      </c>
      <c r="J48" s="46">
        <f>J18+J23+J28+J33+J44</f>
        <v>0</v>
      </c>
    </row>
    <row r="49" spans="1:10" x14ac:dyDescent="0.2">
      <c r="I49" s="47" t="s">
        <v>92</v>
      </c>
      <c r="J49" s="48">
        <f>ROUND(J48/'Quadro de Áreas'!$H$13,2)</f>
        <v>0</v>
      </c>
    </row>
    <row r="50" spans="1:10" x14ac:dyDescent="0.2">
      <c r="I50" s="47" t="s">
        <v>93</v>
      </c>
      <c r="J50" s="49">
        <v>895500</v>
      </c>
    </row>
    <row r="51" spans="1:10" x14ac:dyDescent="0.2">
      <c r="I51" s="47" t="s">
        <v>94</v>
      </c>
      <c r="J51" s="48">
        <f>J50-J48</f>
        <v>895500</v>
      </c>
    </row>
    <row r="53" spans="1:10" ht="12.75" customHeight="1" x14ac:dyDescent="0.2">
      <c r="A53" s="58" t="s">
        <v>95</v>
      </c>
      <c r="B53" s="58"/>
      <c r="C53" s="58"/>
      <c r="D53" s="58"/>
      <c r="E53" s="58"/>
      <c r="F53" s="58"/>
      <c r="G53" s="58"/>
      <c r="H53" s="58"/>
      <c r="I53" s="58"/>
      <c r="J53" s="58"/>
    </row>
    <row r="54" spans="1:10" ht="21.75" customHeight="1" x14ac:dyDescent="0.2">
      <c r="A54" s="56" t="s">
        <v>96</v>
      </c>
      <c r="B54" s="56"/>
      <c r="C54" s="56"/>
      <c r="D54" s="56"/>
      <c r="E54" s="56"/>
      <c r="F54" s="56"/>
      <c r="G54" s="56"/>
      <c r="H54" s="56"/>
      <c r="I54" s="56"/>
      <c r="J54" s="56"/>
    </row>
    <row r="55" spans="1:10" ht="21.75" customHeight="1" x14ac:dyDescent="0.2">
      <c r="A55" s="56" t="s">
        <v>97</v>
      </c>
      <c r="B55" s="56"/>
      <c r="C55" s="56"/>
      <c r="D55" s="56"/>
      <c r="E55" s="56"/>
      <c r="F55" s="56"/>
      <c r="G55" s="56"/>
      <c r="H55" s="56"/>
      <c r="I55" s="56"/>
      <c r="J55" s="56"/>
    </row>
    <row r="56" spans="1:10" ht="21.75" customHeight="1" x14ac:dyDescent="0.2">
      <c r="A56" s="56" t="s">
        <v>98</v>
      </c>
      <c r="B56" s="56"/>
      <c r="C56" s="56"/>
      <c r="D56" s="56"/>
      <c r="E56" s="56"/>
      <c r="F56" s="56"/>
      <c r="G56" s="56"/>
      <c r="H56" s="56"/>
      <c r="I56" s="56"/>
      <c r="J56" s="56"/>
    </row>
    <row r="57" spans="1:10" ht="21.75" customHeight="1" x14ac:dyDescent="0.2">
      <c r="A57" s="56" t="s">
        <v>99</v>
      </c>
      <c r="B57" s="56"/>
      <c r="C57" s="56"/>
      <c r="D57" s="56"/>
      <c r="E57" s="56"/>
      <c r="F57" s="56"/>
      <c r="G57" s="56"/>
      <c r="H57" s="56"/>
      <c r="I57" s="56"/>
      <c r="J57" s="56"/>
    </row>
    <row r="58" spans="1:10" ht="21.75" customHeight="1" x14ac:dyDescent="0.2">
      <c r="A58" s="56" t="s">
        <v>100</v>
      </c>
      <c r="B58" s="56"/>
      <c r="C58" s="56"/>
      <c r="D58" s="56"/>
      <c r="E58" s="56"/>
      <c r="F58" s="56"/>
      <c r="G58" s="56"/>
      <c r="H58" s="56"/>
      <c r="I58" s="56"/>
      <c r="J58" s="56"/>
    </row>
    <row r="59" spans="1:10" ht="21.75" customHeight="1" x14ac:dyDescent="0.2">
      <c r="A59" s="56" t="s">
        <v>101</v>
      </c>
      <c r="B59" s="56"/>
      <c r="C59" s="56"/>
      <c r="D59" s="56"/>
      <c r="E59" s="56"/>
      <c r="F59" s="56"/>
      <c r="G59" s="56"/>
      <c r="H59" s="56"/>
      <c r="I59" s="56"/>
      <c r="J59" s="56"/>
    </row>
    <row r="60" spans="1:10" ht="21.75" customHeight="1" x14ac:dyDescent="0.2">
      <c r="A60" s="56" t="s">
        <v>102</v>
      </c>
      <c r="B60" s="56"/>
      <c r="C60" s="56"/>
      <c r="D60" s="56"/>
      <c r="E60" s="56"/>
      <c r="F60" s="56"/>
      <c r="G60" s="56"/>
      <c r="H60" s="56"/>
      <c r="I60" s="56"/>
      <c r="J60" s="56"/>
    </row>
    <row r="61" spans="1:10" ht="21.75" customHeight="1" x14ac:dyDescent="0.2">
      <c r="A61" s="56" t="s">
        <v>103</v>
      </c>
      <c r="B61" s="56"/>
      <c r="C61" s="56"/>
      <c r="D61" s="56"/>
      <c r="E61" s="56"/>
      <c r="F61" s="56"/>
      <c r="G61" s="56"/>
      <c r="H61" s="56"/>
      <c r="I61" s="56"/>
      <c r="J61" s="56"/>
    </row>
    <row r="62" spans="1:10" ht="21.75" customHeight="1" x14ac:dyDescent="0.2">
      <c r="A62" s="56" t="s">
        <v>104</v>
      </c>
      <c r="B62" s="56"/>
      <c r="C62" s="56"/>
      <c r="D62" s="56"/>
      <c r="E62" s="56"/>
      <c r="F62" s="56"/>
      <c r="G62" s="56"/>
      <c r="H62" s="56"/>
      <c r="I62" s="56"/>
      <c r="J62" s="56"/>
    </row>
    <row r="63" spans="1:10" ht="21.75" customHeight="1" x14ac:dyDescent="0.2">
      <c r="A63" s="56" t="s">
        <v>105</v>
      </c>
      <c r="B63" s="56"/>
      <c r="C63" s="56"/>
      <c r="D63" s="56"/>
      <c r="E63" s="56"/>
      <c r="F63" s="56"/>
      <c r="G63" s="56"/>
      <c r="H63" s="56"/>
      <c r="I63" s="56"/>
      <c r="J63" s="56"/>
    </row>
  </sheetData>
  <mergeCells count="23">
    <mergeCell ref="A1:J1"/>
    <mergeCell ref="A2:J2"/>
    <mergeCell ref="A3:J3"/>
    <mergeCell ref="B5:J5"/>
    <mergeCell ref="B6:J6"/>
    <mergeCell ref="B7:J7"/>
    <mergeCell ref="B8:J8"/>
    <mergeCell ref="B9:J9"/>
    <mergeCell ref="B10:J10"/>
    <mergeCell ref="B11:J11"/>
    <mergeCell ref="D16:D17"/>
    <mergeCell ref="H16:I16"/>
    <mergeCell ref="A53:J53"/>
    <mergeCell ref="A54:J54"/>
    <mergeCell ref="A55:J55"/>
    <mergeCell ref="A61:J61"/>
    <mergeCell ref="A62:J62"/>
    <mergeCell ref="A63:J63"/>
    <mergeCell ref="A56:J56"/>
    <mergeCell ref="A57:J57"/>
    <mergeCell ref="A58:J58"/>
    <mergeCell ref="A59:J59"/>
    <mergeCell ref="A60:J60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view="pageBreakPreview" zoomScaleNormal="100" zoomScaleSheetLayoutView="100" workbookViewId="0">
      <selection activeCell="C12" sqref="C12"/>
    </sheetView>
  </sheetViews>
  <sheetFormatPr baseColWidth="10" defaultColWidth="8.6640625" defaultRowHeight="15" x14ac:dyDescent="0.2"/>
  <cols>
    <col min="1" max="1" width="6" customWidth="1"/>
    <col min="2" max="2" width="44" customWidth="1"/>
    <col min="3" max="3" width="15" customWidth="1"/>
    <col min="4" max="4" width="13" customWidth="1"/>
    <col min="5" max="5" width="8" customWidth="1"/>
    <col min="6" max="6" width="13" customWidth="1"/>
    <col min="7" max="7" width="8" customWidth="1"/>
    <col min="8" max="8" width="13" customWidth="1"/>
    <col min="9" max="9" width="8" customWidth="1"/>
  </cols>
  <sheetData>
    <row r="1" spans="1:9" ht="15" customHeight="1" x14ac:dyDescent="0.2">
      <c r="A1" s="60" t="s">
        <v>335</v>
      </c>
      <c r="B1" s="60"/>
      <c r="C1" s="60"/>
      <c r="D1" s="60"/>
      <c r="E1" s="60"/>
      <c r="F1" s="60"/>
      <c r="G1" s="60"/>
      <c r="H1" s="60"/>
      <c r="I1" s="60"/>
    </row>
    <row r="2" spans="1:9" ht="15" customHeight="1" x14ac:dyDescent="0.2">
      <c r="A2" s="67" t="s">
        <v>336</v>
      </c>
      <c r="B2" s="67"/>
      <c r="C2" s="67"/>
      <c r="D2" s="67"/>
      <c r="E2" s="67"/>
      <c r="F2" s="67"/>
      <c r="G2" s="67"/>
      <c r="H2" s="67"/>
      <c r="I2" s="67"/>
    </row>
    <row r="4" spans="1:9" ht="15" customHeight="1" x14ac:dyDescent="0.2">
      <c r="A4" s="1" t="s">
        <v>337</v>
      </c>
      <c r="B4" s="1" t="s">
        <v>108</v>
      </c>
      <c r="C4" s="1" t="s">
        <v>338</v>
      </c>
      <c r="D4" s="72" t="s">
        <v>339</v>
      </c>
      <c r="E4" s="72"/>
      <c r="F4" s="72" t="s">
        <v>340</v>
      </c>
      <c r="G4" s="72"/>
      <c r="H4" s="72" t="s">
        <v>341</v>
      </c>
      <c r="I4" s="72"/>
    </row>
    <row r="5" spans="1:9" x14ac:dyDescent="0.2">
      <c r="A5" s="1"/>
      <c r="B5" s="1"/>
      <c r="C5" s="1"/>
      <c r="D5" s="1" t="s">
        <v>342</v>
      </c>
      <c r="E5" s="1" t="s">
        <v>343</v>
      </c>
      <c r="F5" s="1" t="s">
        <v>342</v>
      </c>
      <c r="G5" s="1" t="s">
        <v>343</v>
      </c>
      <c r="H5" s="1" t="s">
        <v>342</v>
      </c>
      <c r="I5" s="1" t="s">
        <v>343</v>
      </c>
    </row>
    <row r="6" spans="1:9" x14ac:dyDescent="0.2">
      <c r="A6" s="5" t="s">
        <v>344</v>
      </c>
      <c r="B6" s="4" t="s">
        <v>345</v>
      </c>
      <c r="C6" s="6">
        <f>'Orçamento CBUQ'!J19</f>
        <v>0</v>
      </c>
      <c r="D6" s="24">
        <f>ROUND(C6*1,2)</f>
        <v>0</v>
      </c>
      <c r="E6" s="25">
        <v>1</v>
      </c>
      <c r="F6" s="24">
        <f>ROUND(C6*0,2)</f>
        <v>0</v>
      </c>
      <c r="G6" s="25">
        <v>0</v>
      </c>
      <c r="H6" s="24">
        <f t="shared" ref="H6:H12" si="0">C6-D6-F6</f>
        <v>0</v>
      </c>
      <c r="I6" s="25">
        <f t="shared" ref="I6:I12" si="1">IFERROR(H6/C6,0)</f>
        <v>0</v>
      </c>
    </row>
    <row r="7" spans="1:9" x14ac:dyDescent="0.2">
      <c r="A7" s="5" t="s">
        <v>346</v>
      </c>
      <c r="B7" s="4" t="s">
        <v>347</v>
      </c>
      <c r="C7" s="6">
        <f>'Orçamento CBUQ'!J20</f>
        <v>0</v>
      </c>
      <c r="D7" s="24">
        <f>ROUND(C7*0.5,2)</f>
        <v>0</v>
      </c>
      <c r="E7" s="25">
        <v>0.5</v>
      </c>
      <c r="F7" s="24">
        <f>ROUND(C7*0,2)</f>
        <v>0</v>
      </c>
      <c r="G7" s="25">
        <v>0</v>
      </c>
      <c r="H7" s="24">
        <f t="shared" si="0"/>
        <v>0</v>
      </c>
      <c r="I7" s="25">
        <f t="shared" si="1"/>
        <v>0</v>
      </c>
    </row>
    <row r="8" spans="1:9" x14ac:dyDescent="0.2">
      <c r="A8" s="5" t="s">
        <v>348</v>
      </c>
      <c r="B8" s="4" t="s">
        <v>349</v>
      </c>
      <c r="C8" s="6">
        <f>'Orçamento CBUQ'!J21</f>
        <v>0</v>
      </c>
      <c r="D8" s="24">
        <f>ROUND(C8*0.3333,2)</f>
        <v>0</v>
      </c>
      <c r="E8" s="25">
        <v>0.33329999999999999</v>
      </c>
      <c r="F8" s="24">
        <f>ROUND(C8*0.3333,2)</f>
        <v>0</v>
      </c>
      <c r="G8" s="25">
        <v>0.33329999999999999</v>
      </c>
      <c r="H8" s="24">
        <f t="shared" si="0"/>
        <v>0</v>
      </c>
      <c r="I8" s="25">
        <f t="shared" si="1"/>
        <v>0</v>
      </c>
    </row>
    <row r="9" spans="1:9" x14ac:dyDescent="0.2">
      <c r="A9" s="5" t="s">
        <v>350</v>
      </c>
      <c r="B9" s="4" t="s">
        <v>351</v>
      </c>
      <c r="C9" s="6">
        <f>'Orçamento CBUQ'!J23</f>
        <v>0</v>
      </c>
      <c r="D9" s="24">
        <f>ROUND(C9*0.5,2)</f>
        <v>0</v>
      </c>
      <c r="E9" s="25">
        <v>0.5</v>
      </c>
      <c r="F9" s="24">
        <f>ROUND(C9*0.5,2)</f>
        <v>0</v>
      </c>
      <c r="G9" s="25">
        <v>0.5</v>
      </c>
      <c r="H9" s="24">
        <f t="shared" si="0"/>
        <v>0</v>
      </c>
      <c r="I9" s="25">
        <f t="shared" si="1"/>
        <v>0</v>
      </c>
    </row>
    <row r="10" spans="1:9" x14ac:dyDescent="0.2">
      <c r="A10" s="5" t="s">
        <v>352</v>
      </c>
      <c r="B10" s="4" t="s">
        <v>353</v>
      </c>
      <c r="C10" s="6">
        <f>'Orçamento CBUQ'!J28</f>
        <v>0</v>
      </c>
      <c r="D10" s="24">
        <f>ROUND(C10*0.4,2)</f>
        <v>0</v>
      </c>
      <c r="E10" s="25">
        <v>0.4</v>
      </c>
      <c r="F10" s="24">
        <f>ROUND(C10*0.4,2)</f>
        <v>0</v>
      </c>
      <c r="G10" s="25">
        <v>0.4</v>
      </c>
      <c r="H10" s="24">
        <f t="shared" si="0"/>
        <v>0</v>
      </c>
      <c r="I10" s="25">
        <f t="shared" si="1"/>
        <v>0</v>
      </c>
    </row>
    <row r="11" spans="1:9" x14ac:dyDescent="0.2">
      <c r="A11" s="5" t="s">
        <v>354</v>
      </c>
      <c r="B11" s="4" t="s">
        <v>355</v>
      </c>
      <c r="C11" s="6">
        <f>'Orçamento CBUQ'!J33</f>
        <v>0</v>
      </c>
      <c r="D11" s="24">
        <f>ROUND(C11*0.4,2)</f>
        <v>0</v>
      </c>
      <c r="E11" s="25">
        <v>0.4</v>
      </c>
      <c r="F11" s="24">
        <f>ROUND(C11*0.4,2)</f>
        <v>0</v>
      </c>
      <c r="G11" s="25">
        <v>0.4</v>
      </c>
      <c r="H11" s="24">
        <f t="shared" si="0"/>
        <v>0</v>
      </c>
      <c r="I11" s="25">
        <f t="shared" si="1"/>
        <v>0</v>
      </c>
    </row>
    <row r="12" spans="1:9" x14ac:dyDescent="0.2">
      <c r="A12" s="5" t="s">
        <v>356</v>
      </c>
      <c r="B12" s="4" t="s">
        <v>357</v>
      </c>
      <c r="C12" s="6">
        <f>'Orçamento CBUQ'!J44</f>
        <v>0</v>
      </c>
      <c r="D12" s="24">
        <f>ROUND(C12*0,2)</f>
        <v>0</v>
      </c>
      <c r="E12" s="25">
        <v>0</v>
      </c>
      <c r="F12" s="24">
        <f>ROUND(C12*0.4,2)</f>
        <v>0</v>
      </c>
      <c r="G12" s="25">
        <v>0.4</v>
      </c>
      <c r="H12" s="24">
        <f t="shared" si="0"/>
        <v>0</v>
      </c>
      <c r="I12" s="25">
        <f t="shared" si="1"/>
        <v>0</v>
      </c>
    </row>
    <row r="13" spans="1:9" x14ac:dyDescent="0.2">
      <c r="A13" s="9"/>
      <c r="B13" s="23" t="s">
        <v>358</v>
      </c>
      <c r="C13" s="18">
        <f>SUM(C6:C12)</f>
        <v>0</v>
      </c>
      <c r="D13" s="18">
        <f>SUM(D6:D12)</f>
        <v>0</v>
      </c>
      <c r="E13" s="20" t="e">
        <f>ROUND(D13/C13,4)</f>
        <v>#DIV/0!</v>
      </c>
      <c r="F13" s="18">
        <f>SUM(F6:F12)</f>
        <v>0</v>
      </c>
      <c r="G13" s="20" t="e">
        <f>ROUND(F13/C13,4)</f>
        <v>#DIV/0!</v>
      </c>
      <c r="H13" s="18">
        <f>SUM(H6:H12)</f>
        <v>0</v>
      </c>
      <c r="I13" s="20" t="e">
        <f>ROUND(H13/C13,4)</f>
        <v>#DIV/0!</v>
      </c>
    </row>
    <row r="14" spans="1:9" x14ac:dyDescent="0.2">
      <c r="A14" s="11"/>
      <c r="B14" s="10" t="s">
        <v>359</v>
      </c>
      <c r="C14" s="11"/>
      <c r="D14" s="26">
        <f>D13</f>
        <v>0</v>
      </c>
      <c r="E14" s="11"/>
      <c r="F14" s="26">
        <f>D13+F13</f>
        <v>0</v>
      </c>
      <c r="G14" s="11"/>
      <c r="H14" s="26">
        <f>D13+F13+H13</f>
        <v>0</v>
      </c>
      <c r="I14" s="11"/>
    </row>
  </sheetData>
  <mergeCells count="5">
    <mergeCell ref="A1:I1"/>
    <mergeCell ref="A2:I2"/>
    <mergeCell ref="D4:E4"/>
    <mergeCell ref="F4:G4"/>
    <mergeCell ref="H4:I4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view="pageBreakPreview" topLeftCell="B1" zoomScaleNormal="100" zoomScaleSheetLayoutView="100" workbookViewId="0">
      <selection activeCell="J15" sqref="J15"/>
    </sheetView>
  </sheetViews>
  <sheetFormatPr baseColWidth="10" defaultColWidth="8.6640625" defaultRowHeight="15" x14ac:dyDescent="0.2"/>
  <cols>
    <col min="1" max="1" width="50" style="27" customWidth="1"/>
    <col min="2" max="2" width="10" style="27" customWidth="1"/>
    <col min="3" max="3" width="11" style="27" customWidth="1"/>
    <col min="4" max="4" width="7" style="27" customWidth="1"/>
    <col min="5" max="5" width="9" style="27" customWidth="1"/>
    <col min="6" max="6" width="11" style="27" customWidth="1"/>
    <col min="7" max="7" width="62" style="27" customWidth="1"/>
    <col min="8" max="16384" width="8.6640625" style="27"/>
  </cols>
  <sheetData>
    <row r="1" spans="1:7" ht="15" customHeight="1" x14ac:dyDescent="0.2">
      <c r="A1" s="60" t="s">
        <v>106</v>
      </c>
      <c r="B1" s="60"/>
      <c r="C1" s="60"/>
      <c r="D1" s="60"/>
      <c r="E1" s="60"/>
      <c r="F1" s="60"/>
      <c r="G1" s="60"/>
    </row>
    <row r="2" spans="1:7" ht="15" customHeight="1" x14ac:dyDescent="0.2">
      <c r="A2" s="62" t="s">
        <v>107</v>
      </c>
      <c r="B2" s="62"/>
      <c r="C2" s="62"/>
      <c r="D2" s="62"/>
      <c r="E2" s="62"/>
      <c r="F2" s="62"/>
      <c r="G2" s="62"/>
    </row>
    <row r="4" spans="1:7" x14ac:dyDescent="0.2">
      <c r="A4" s="32" t="s">
        <v>108</v>
      </c>
      <c r="B4" s="32" t="s">
        <v>22</v>
      </c>
      <c r="C4" s="32" t="s">
        <v>23</v>
      </c>
      <c r="D4" s="32" t="s">
        <v>109</v>
      </c>
      <c r="E4" s="32" t="s">
        <v>110</v>
      </c>
      <c r="F4" s="32" t="s">
        <v>26</v>
      </c>
      <c r="G4" s="32" t="s">
        <v>111</v>
      </c>
    </row>
    <row r="5" spans="1:7" x14ac:dyDescent="0.2">
      <c r="A5" s="50" t="s">
        <v>38</v>
      </c>
      <c r="B5" s="51"/>
      <c r="C5" s="51"/>
      <c r="D5" s="51"/>
      <c r="E5" s="51"/>
      <c r="F5" s="51"/>
      <c r="G5" s="51"/>
    </row>
    <row r="6" spans="1:7" x14ac:dyDescent="0.2">
      <c r="A6" s="36" t="s">
        <v>39</v>
      </c>
      <c r="B6" s="37" t="s">
        <v>40</v>
      </c>
      <c r="C6" s="37" t="s">
        <v>41</v>
      </c>
      <c r="D6" s="37" t="s">
        <v>42</v>
      </c>
      <c r="E6" s="34"/>
      <c r="F6" s="38">
        <f>'Orçamento CBUQ'!F19</f>
        <v>1</v>
      </c>
      <c r="G6" s="36" t="s">
        <v>112</v>
      </c>
    </row>
    <row r="7" spans="1:7" x14ac:dyDescent="0.2">
      <c r="A7" s="36" t="s">
        <v>43</v>
      </c>
      <c r="B7" s="37" t="s">
        <v>44</v>
      </c>
      <c r="C7" s="37" t="s">
        <v>41</v>
      </c>
      <c r="D7" s="37" t="s">
        <v>42</v>
      </c>
      <c r="E7" s="34"/>
      <c r="F7" s="38">
        <f>'Orçamento CBUQ'!F20</f>
        <v>1</v>
      </c>
      <c r="G7" s="36" t="s">
        <v>113</v>
      </c>
    </row>
    <row r="8" spans="1:7" x14ac:dyDescent="0.2">
      <c r="A8" s="36" t="s">
        <v>45</v>
      </c>
      <c r="B8" s="37" t="s">
        <v>46</v>
      </c>
      <c r="C8" s="37" t="s">
        <v>41</v>
      </c>
      <c r="D8" s="37" t="s">
        <v>42</v>
      </c>
      <c r="E8" s="34"/>
      <c r="F8" s="38">
        <f>'Orçamento CBUQ'!F21</f>
        <v>1</v>
      </c>
      <c r="G8" s="36" t="s">
        <v>114</v>
      </c>
    </row>
    <row r="9" spans="1:7" x14ac:dyDescent="0.2">
      <c r="A9" s="50" t="s">
        <v>47</v>
      </c>
      <c r="B9" s="51"/>
      <c r="C9" s="51"/>
      <c r="D9" s="51"/>
      <c r="E9" s="51"/>
      <c r="F9" s="51"/>
      <c r="G9" s="51"/>
    </row>
    <row r="10" spans="1:7" x14ac:dyDescent="0.2">
      <c r="A10" s="36" t="s">
        <v>115</v>
      </c>
      <c r="B10" s="37" t="s">
        <v>49</v>
      </c>
      <c r="C10" s="37" t="s">
        <v>41</v>
      </c>
      <c r="D10" s="37" t="s">
        <v>18</v>
      </c>
      <c r="E10" s="34"/>
      <c r="F10" s="38">
        <f>'Orçamento CBUQ'!F24</f>
        <v>11209.4</v>
      </c>
      <c r="G10" s="36" t="s">
        <v>116</v>
      </c>
    </row>
    <row r="11" spans="1:7" x14ac:dyDescent="0.2">
      <c r="A11" s="36" t="s">
        <v>51</v>
      </c>
      <c r="B11" s="37" t="s">
        <v>52</v>
      </c>
      <c r="C11" s="37" t="s">
        <v>41</v>
      </c>
      <c r="D11" s="37" t="s">
        <v>53</v>
      </c>
      <c r="E11" s="37" t="s">
        <v>117</v>
      </c>
      <c r="F11" s="38">
        <f>'Orçamento CBUQ'!F25</f>
        <v>224.19</v>
      </c>
      <c r="G11" s="36" t="s">
        <v>118</v>
      </c>
    </row>
    <row r="12" spans="1:7" x14ac:dyDescent="0.2">
      <c r="A12" s="36" t="s">
        <v>119</v>
      </c>
      <c r="B12" s="37" t="s">
        <v>55</v>
      </c>
      <c r="C12" s="37" t="s">
        <v>41</v>
      </c>
      <c r="D12" s="37" t="s">
        <v>56</v>
      </c>
      <c r="E12" s="37" t="s">
        <v>120</v>
      </c>
      <c r="F12" s="38">
        <f>'Orçamento CBUQ'!F26</f>
        <v>2600.6</v>
      </c>
      <c r="G12" s="36" t="s">
        <v>121</v>
      </c>
    </row>
    <row r="13" spans="1:7" x14ac:dyDescent="0.2">
      <c r="A13" s="50" t="s">
        <v>57</v>
      </c>
      <c r="B13" s="51"/>
      <c r="C13" s="51"/>
      <c r="D13" s="51"/>
      <c r="E13" s="51"/>
      <c r="F13" s="51"/>
      <c r="G13" s="51"/>
    </row>
    <row r="14" spans="1:7" x14ac:dyDescent="0.2">
      <c r="A14" s="36" t="s">
        <v>58</v>
      </c>
      <c r="B14" s="37" t="s">
        <v>59</v>
      </c>
      <c r="C14" s="37" t="s">
        <v>41</v>
      </c>
      <c r="D14" s="37" t="s">
        <v>18</v>
      </c>
      <c r="E14" s="34"/>
      <c r="F14" s="38">
        <f>'Orçamento CBUQ'!F29</f>
        <v>11209.4</v>
      </c>
      <c r="G14" s="36" t="s">
        <v>116</v>
      </c>
    </row>
    <row r="15" spans="1:7" ht="24" customHeight="1" x14ac:dyDescent="0.2">
      <c r="A15" s="36" t="s">
        <v>122</v>
      </c>
      <c r="B15" s="37" t="s">
        <v>61</v>
      </c>
      <c r="C15" s="37" t="s">
        <v>62</v>
      </c>
      <c r="D15" s="37" t="s">
        <v>63</v>
      </c>
      <c r="E15" s="37" t="s">
        <v>123</v>
      </c>
      <c r="F15" s="38">
        <f>'Orçamento CBUQ'!F30</f>
        <v>5.6</v>
      </c>
      <c r="G15" s="36" t="s">
        <v>124</v>
      </c>
    </row>
    <row r="16" spans="1:7" ht="24" customHeight="1" x14ac:dyDescent="0.2">
      <c r="A16" s="36" t="s">
        <v>64</v>
      </c>
      <c r="B16" s="37" t="s">
        <v>65</v>
      </c>
      <c r="C16" s="37" t="s">
        <v>50</v>
      </c>
      <c r="D16" s="37" t="s">
        <v>63</v>
      </c>
      <c r="E16" s="37" t="s">
        <v>125</v>
      </c>
      <c r="F16" s="38">
        <f>'Orçamento CBUQ'!F31</f>
        <v>5.6</v>
      </c>
      <c r="G16" s="36" t="s">
        <v>126</v>
      </c>
    </row>
    <row r="17" spans="1:7" x14ac:dyDescent="0.2">
      <c r="A17" s="50" t="s">
        <v>127</v>
      </c>
      <c r="B17" s="51"/>
      <c r="C17" s="51"/>
      <c r="D17" s="51"/>
      <c r="E17" s="51"/>
      <c r="F17" s="51"/>
      <c r="G17" s="51"/>
    </row>
    <row r="18" spans="1:7" x14ac:dyDescent="0.2">
      <c r="A18" s="36" t="s">
        <v>128</v>
      </c>
      <c r="B18" s="37" t="s">
        <v>68</v>
      </c>
      <c r="C18" s="37" t="s">
        <v>41</v>
      </c>
      <c r="D18" s="37" t="s">
        <v>53</v>
      </c>
      <c r="E18" s="37" t="s">
        <v>129</v>
      </c>
      <c r="F18" s="38">
        <f>'Orçamento CBUQ'!F34</f>
        <v>448.38</v>
      </c>
      <c r="G18" s="36" t="s">
        <v>130</v>
      </c>
    </row>
    <row r="19" spans="1:7" ht="24" customHeight="1" x14ac:dyDescent="0.2">
      <c r="A19" s="36" t="s">
        <v>69</v>
      </c>
      <c r="B19" s="37" t="s">
        <v>70</v>
      </c>
      <c r="C19" s="37" t="s">
        <v>62</v>
      </c>
      <c r="D19" s="37" t="s">
        <v>63</v>
      </c>
      <c r="E19" s="37" t="s">
        <v>131</v>
      </c>
      <c r="F19" s="38">
        <f>'Orçamento CBUQ'!F35</f>
        <v>63.06</v>
      </c>
      <c r="G19" s="36" t="s">
        <v>132</v>
      </c>
    </row>
    <row r="20" spans="1:7" ht="24" customHeight="1" x14ac:dyDescent="0.2">
      <c r="A20" s="36" t="s">
        <v>71</v>
      </c>
      <c r="B20" s="37" t="s">
        <v>65</v>
      </c>
      <c r="C20" s="37" t="s">
        <v>50</v>
      </c>
      <c r="D20" s="37" t="s">
        <v>63</v>
      </c>
      <c r="E20" s="37" t="s">
        <v>133</v>
      </c>
      <c r="F20" s="38">
        <f>'Orçamento CBUQ'!F36</f>
        <v>63.06</v>
      </c>
      <c r="G20" s="36" t="s">
        <v>134</v>
      </c>
    </row>
    <row r="21" spans="1:7" x14ac:dyDescent="0.2">
      <c r="A21" s="36" t="s">
        <v>72</v>
      </c>
      <c r="B21" s="37" t="s">
        <v>73</v>
      </c>
      <c r="C21" s="37" t="s">
        <v>41</v>
      </c>
      <c r="D21" s="37" t="s">
        <v>74</v>
      </c>
      <c r="E21" s="37" t="s">
        <v>135</v>
      </c>
      <c r="F21" s="38">
        <f>'Orçamento CBUQ'!F37</f>
        <v>26902.799999999999</v>
      </c>
      <c r="G21" s="36" t="s">
        <v>136</v>
      </c>
    </row>
    <row r="22" spans="1:7" x14ac:dyDescent="0.2">
      <c r="A22" s="36" t="s">
        <v>75</v>
      </c>
      <c r="B22" s="37" t="s">
        <v>76</v>
      </c>
      <c r="C22" s="37" t="s">
        <v>41</v>
      </c>
      <c r="D22" s="37" t="s">
        <v>74</v>
      </c>
      <c r="E22" s="37" t="s">
        <v>137</v>
      </c>
      <c r="F22" s="38">
        <f>'Orçamento CBUQ'!F38</f>
        <v>10761.12</v>
      </c>
      <c r="G22" s="36" t="s">
        <v>138</v>
      </c>
    </row>
    <row r="23" spans="1:7" x14ac:dyDescent="0.2">
      <c r="A23" s="36" t="s">
        <v>77</v>
      </c>
      <c r="B23" s="37" t="s">
        <v>78</v>
      </c>
      <c r="C23" s="37" t="s">
        <v>41</v>
      </c>
      <c r="D23" s="37" t="s">
        <v>53</v>
      </c>
      <c r="E23" s="37" t="s">
        <v>139</v>
      </c>
      <c r="F23" s="38">
        <f>'Orçamento CBUQ'!F39</f>
        <v>107.61</v>
      </c>
      <c r="G23" s="36" t="s">
        <v>140</v>
      </c>
    </row>
    <row r="24" spans="1:7" x14ac:dyDescent="0.2">
      <c r="A24" s="36" t="s">
        <v>79</v>
      </c>
      <c r="B24" s="37" t="s">
        <v>80</v>
      </c>
      <c r="C24" s="37" t="s">
        <v>41</v>
      </c>
      <c r="D24" s="37" t="s">
        <v>53</v>
      </c>
      <c r="E24" s="37" t="s">
        <v>141</v>
      </c>
      <c r="F24" s="38">
        <f>'Orçamento CBUQ'!F40</f>
        <v>731.76</v>
      </c>
      <c r="G24" s="36" t="s">
        <v>142</v>
      </c>
    </row>
    <row r="25" spans="1:7" ht="24" customHeight="1" x14ac:dyDescent="0.2">
      <c r="A25" s="36" t="s">
        <v>81</v>
      </c>
      <c r="B25" s="37" t="s">
        <v>82</v>
      </c>
      <c r="C25" s="37" t="s">
        <v>41</v>
      </c>
      <c r="D25" s="37" t="s">
        <v>56</v>
      </c>
      <c r="E25" s="37" t="s">
        <v>143</v>
      </c>
      <c r="F25" s="38">
        <f>'Orçamento CBUQ'!F41</f>
        <v>0</v>
      </c>
      <c r="G25" s="36" t="s">
        <v>144</v>
      </c>
    </row>
    <row r="26" spans="1:7" x14ac:dyDescent="0.2">
      <c r="A26" s="36" t="s">
        <v>83</v>
      </c>
      <c r="B26" s="37" t="s">
        <v>84</v>
      </c>
      <c r="C26" s="37" t="s">
        <v>41</v>
      </c>
      <c r="D26" s="37" t="s">
        <v>85</v>
      </c>
      <c r="E26" s="37" t="s">
        <v>145</v>
      </c>
      <c r="F26" s="38">
        <f>'Orçamento CBUQ'!F42</f>
        <v>53267.45</v>
      </c>
      <c r="G26" s="36" t="s">
        <v>146</v>
      </c>
    </row>
    <row r="27" spans="1:7" x14ac:dyDescent="0.2">
      <c r="A27" s="50" t="s">
        <v>86</v>
      </c>
      <c r="B27" s="51"/>
      <c r="C27" s="51"/>
      <c r="D27" s="51"/>
      <c r="E27" s="51"/>
      <c r="F27" s="51"/>
      <c r="G27" s="51"/>
    </row>
    <row r="28" spans="1:7" ht="24" customHeight="1" x14ac:dyDescent="0.2">
      <c r="A28" s="36" t="s">
        <v>147</v>
      </c>
      <c r="B28" s="37" t="s">
        <v>88</v>
      </c>
      <c r="C28" s="37" t="s">
        <v>50</v>
      </c>
      <c r="D28" s="37" t="s">
        <v>18</v>
      </c>
      <c r="E28" s="34"/>
      <c r="F28" s="38">
        <v>35.700000000000003</v>
      </c>
      <c r="G28" s="36" t="s">
        <v>360</v>
      </c>
    </row>
    <row r="29" spans="1:7" ht="24" customHeight="1" x14ac:dyDescent="0.2">
      <c r="A29" s="36" t="s">
        <v>148</v>
      </c>
      <c r="B29" s="37" t="s">
        <v>90</v>
      </c>
      <c r="C29" s="37" t="s">
        <v>50</v>
      </c>
      <c r="D29" s="37" t="s">
        <v>18</v>
      </c>
      <c r="E29" s="34"/>
      <c r="F29" s="38">
        <v>3</v>
      </c>
      <c r="G29" s="36" t="s">
        <v>361</v>
      </c>
    </row>
    <row r="31" spans="1:7" x14ac:dyDescent="0.2">
      <c r="A31" s="52" t="s">
        <v>149</v>
      </c>
    </row>
  </sheetData>
  <mergeCells count="2">
    <mergeCell ref="A1:G1"/>
    <mergeCell ref="A2:G2"/>
  </mergeCells>
  <printOptions horizontalCentered="1"/>
  <pageMargins left="0.39370078740157483" right="0.39370078740157483" top="1.5748031496062993" bottom="0.78740157480314965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view="pageBreakPreview" topLeftCell="C1" zoomScaleNormal="100" zoomScaleSheetLayoutView="100" workbookViewId="0">
      <selection activeCell="H30" sqref="H30"/>
    </sheetView>
  </sheetViews>
  <sheetFormatPr baseColWidth="10" defaultColWidth="8.6640625" defaultRowHeight="15" x14ac:dyDescent="0.2"/>
  <cols>
    <col min="1" max="1" width="26" style="27" customWidth="1"/>
    <col min="2" max="2" width="20" style="27" customWidth="1"/>
    <col min="3" max="4" width="11" style="27" customWidth="1"/>
    <col min="5" max="6" width="26" style="27" customWidth="1"/>
    <col min="7" max="7" width="10" style="27" customWidth="1"/>
    <col min="8" max="10" width="11" style="27" customWidth="1"/>
    <col min="11" max="16384" width="8.6640625" style="27"/>
  </cols>
  <sheetData>
    <row r="1" spans="1:10" ht="15" customHeight="1" x14ac:dyDescent="0.2">
      <c r="A1" s="60" t="s">
        <v>150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5" customHeight="1" x14ac:dyDescent="0.2">
      <c r="A2" s="62" t="s">
        <v>151</v>
      </c>
      <c r="B2" s="62"/>
      <c r="C2" s="62"/>
      <c r="D2" s="62"/>
      <c r="E2" s="62"/>
      <c r="F2" s="62"/>
      <c r="G2" s="62"/>
      <c r="H2" s="62"/>
      <c r="I2" s="62"/>
      <c r="J2" s="62"/>
    </row>
    <row r="4" spans="1:10" ht="26" x14ac:dyDescent="0.2">
      <c r="A4" s="32" t="s">
        <v>152</v>
      </c>
      <c r="B4" s="32" t="s">
        <v>153</v>
      </c>
      <c r="C4" s="32" t="s">
        <v>154</v>
      </c>
      <c r="D4" s="32" t="s">
        <v>155</v>
      </c>
      <c r="E4" s="32" t="s">
        <v>156</v>
      </c>
      <c r="F4" s="32" t="s">
        <v>157</v>
      </c>
      <c r="G4" s="32" t="s">
        <v>158</v>
      </c>
      <c r="H4" s="32" t="s">
        <v>159</v>
      </c>
      <c r="I4" s="32" t="s">
        <v>160</v>
      </c>
      <c r="J4" s="32" t="s">
        <v>161</v>
      </c>
    </row>
    <row r="5" spans="1:10" x14ac:dyDescent="0.2">
      <c r="A5" s="36" t="s">
        <v>162</v>
      </c>
      <c r="B5" s="36" t="s">
        <v>163</v>
      </c>
      <c r="C5" s="38">
        <v>139.11000000000001</v>
      </c>
      <c r="D5" s="38">
        <v>11.4</v>
      </c>
      <c r="E5" s="36" t="s">
        <v>164</v>
      </c>
      <c r="F5" s="36" t="s">
        <v>165</v>
      </c>
      <c r="G5" s="53">
        <v>0.04</v>
      </c>
      <c r="H5" s="38">
        <v>1585.85</v>
      </c>
      <c r="I5" s="38">
        <f t="shared" ref="I5:I12" si="0">ROUND(H5*G5,2)</f>
        <v>63.43</v>
      </c>
      <c r="J5" s="38">
        <f t="shared" ref="J5:J12" si="1">ROUND(I5*2.4,2)</f>
        <v>152.22999999999999</v>
      </c>
    </row>
    <row r="6" spans="1:10" x14ac:dyDescent="0.2">
      <c r="A6" s="36" t="s">
        <v>166</v>
      </c>
      <c r="B6" s="36" t="s">
        <v>167</v>
      </c>
      <c r="C6" s="38">
        <v>197.04</v>
      </c>
      <c r="D6" s="38">
        <v>7.72</v>
      </c>
      <c r="E6" s="36" t="s">
        <v>168</v>
      </c>
      <c r="F6" s="36" t="s">
        <v>169</v>
      </c>
      <c r="G6" s="53">
        <v>0.04</v>
      </c>
      <c r="H6" s="38">
        <v>1521.15</v>
      </c>
      <c r="I6" s="38">
        <f t="shared" si="0"/>
        <v>60.85</v>
      </c>
      <c r="J6" s="38">
        <f t="shared" si="1"/>
        <v>146.04</v>
      </c>
    </row>
    <row r="7" spans="1:10" x14ac:dyDescent="0.2">
      <c r="A7" s="36" t="s">
        <v>170</v>
      </c>
      <c r="B7" s="36" t="s">
        <v>167</v>
      </c>
      <c r="C7" s="38">
        <v>178</v>
      </c>
      <c r="D7" s="38">
        <v>7.3</v>
      </c>
      <c r="E7" s="36" t="s">
        <v>168</v>
      </c>
      <c r="F7" s="36" t="s">
        <v>169</v>
      </c>
      <c r="G7" s="53">
        <v>0.04</v>
      </c>
      <c r="H7" s="38">
        <v>1299.4000000000001</v>
      </c>
      <c r="I7" s="38">
        <f t="shared" si="0"/>
        <v>51.98</v>
      </c>
      <c r="J7" s="38">
        <f t="shared" si="1"/>
        <v>124.75</v>
      </c>
    </row>
    <row r="8" spans="1:10" x14ac:dyDescent="0.2">
      <c r="A8" s="36" t="s">
        <v>169</v>
      </c>
      <c r="B8" s="36" t="s">
        <v>167</v>
      </c>
      <c r="C8" s="38">
        <v>261.22000000000003</v>
      </c>
      <c r="D8" s="38">
        <v>7.75</v>
      </c>
      <c r="E8" s="36" t="s">
        <v>166</v>
      </c>
      <c r="F8" s="36" t="s">
        <v>171</v>
      </c>
      <c r="G8" s="53">
        <v>0.04</v>
      </c>
      <c r="H8" s="38">
        <v>2024.46</v>
      </c>
      <c r="I8" s="38">
        <f t="shared" si="0"/>
        <v>80.98</v>
      </c>
      <c r="J8" s="38">
        <f t="shared" si="1"/>
        <v>194.35</v>
      </c>
    </row>
    <row r="9" spans="1:10" x14ac:dyDescent="0.2">
      <c r="A9" s="36" t="s">
        <v>172</v>
      </c>
      <c r="B9" s="36" t="s">
        <v>167</v>
      </c>
      <c r="C9" s="38">
        <v>98.72</v>
      </c>
      <c r="D9" s="38">
        <v>7.4</v>
      </c>
      <c r="E9" s="36" t="s">
        <v>169</v>
      </c>
      <c r="F9" s="36" t="s">
        <v>165</v>
      </c>
      <c r="G9" s="53">
        <v>0.04</v>
      </c>
      <c r="H9" s="38">
        <v>730.53</v>
      </c>
      <c r="I9" s="38">
        <f t="shared" si="0"/>
        <v>29.22</v>
      </c>
      <c r="J9" s="38">
        <f t="shared" si="1"/>
        <v>70.13</v>
      </c>
    </row>
    <row r="10" spans="1:10" x14ac:dyDescent="0.2">
      <c r="A10" s="36" t="s">
        <v>173</v>
      </c>
      <c r="B10" s="36" t="s">
        <v>167</v>
      </c>
      <c r="C10" s="38">
        <v>68.64</v>
      </c>
      <c r="D10" s="38">
        <v>7.4</v>
      </c>
      <c r="E10" s="36" t="s">
        <v>169</v>
      </c>
      <c r="F10" s="36" t="s">
        <v>165</v>
      </c>
      <c r="G10" s="53">
        <v>0.04</v>
      </c>
      <c r="H10" s="38">
        <v>507.94</v>
      </c>
      <c r="I10" s="38">
        <f t="shared" si="0"/>
        <v>20.32</v>
      </c>
      <c r="J10" s="38">
        <f t="shared" si="1"/>
        <v>48.77</v>
      </c>
    </row>
    <row r="11" spans="1:10" x14ac:dyDescent="0.2">
      <c r="A11" s="36" t="s">
        <v>174</v>
      </c>
      <c r="B11" s="36" t="s">
        <v>167</v>
      </c>
      <c r="C11" s="38">
        <v>34.83</v>
      </c>
      <c r="D11" s="38">
        <v>7.41</v>
      </c>
      <c r="E11" s="36" t="s">
        <v>169</v>
      </c>
      <c r="F11" s="36" t="s">
        <v>165</v>
      </c>
      <c r="G11" s="53">
        <v>0.04</v>
      </c>
      <c r="H11" s="38">
        <v>258.08999999999997</v>
      </c>
      <c r="I11" s="38">
        <f t="shared" si="0"/>
        <v>10.32</v>
      </c>
      <c r="J11" s="38">
        <f t="shared" si="1"/>
        <v>24.77</v>
      </c>
    </row>
    <row r="12" spans="1:10" ht="26" x14ac:dyDescent="0.2">
      <c r="A12" s="36" t="s">
        <v>175</v>
      </c>
      <c r="B12" s="36" t="s">
        <v>176</v>
      </c>
      <c r="C12" s="38">
        <v>408.46</v>
      </c>
      <c r="D12" s="38">
        <v>8.0399999999999991</v>
      </c>
      <c r="E12" s="36" t="s">
        <v>177</v>
      </c>
      <c r="F12" s="36" t="s">
        <v>178</v>
      </c>
      <c r="G12" s="53">
        <v>0.04</v>
      </c>
      <c r="H12" s="38">
        <v>3281.98</v>
      </c>
      <c r="I12" s="38">
        <f t="shared" si="0"/>
        <v>131.28</v>
      </c>
      <c r="J12" s="38">
        <f t="shared" si="1"/>
        <v>315.07</v>
      </c>
    </row>
    <row r="13" spans="1:10" x14ac:dyDescent="0.2">
      <c r="A13" s="44"/>
      <c r="B13" s="44"/>
      <c r="C13" s="54">
        <f>SUM(C5:C12)</f>
        <v>1386.02</v>
      </c>
      <c r="D13" s="44"/>
      <c r="E13" s="44"/>
      <c r="F13" s="44"/>
      <c r="G13" s="55" t="s">
        <v>179</v>
      </c>
      <c r="H13" s="54">
        <f>SUM(H5:H12)</f>
        <v>11209.4</v>
      </c>
      <c r="I13" s="54">
        <f>SUM(I5:I12)</f>
        <v>448.38</v>
      </c>
      <c r="J13" s="54">
        <f>SUM(J5:J12)</f>
        <v>1076.1099999999999</v>
      </c>
    </row>
    <row r="15" spans="1:10" x14ac:dyDescent="0.2">
      <c r="A15" s="52" t="s">
        <v>180</v>
      </c>
    </row>
  </sheetData>
  <mergeCells count="2">
    <mergeCell ref="A1:J1"/>
    <mergeCell ref="A2:J2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2"/>
  <sheetViews>
    <sheetView view="pageBreakPreview" zoomScaleNormal="100" zoomScaleSheetLayoutView="100" workbookViewId="0">
      <selection activeCell="J16" sqref="J16"/>
    </sheetView>
  </sheetViews>
  <sheetFormatPr baseColWidth="10" defaultColWidth="8.6640625" defaultRowHeight="15" x14ac:dyDescent="0.2"/>
  <cols>
    <col min="1" max="1" width="22" customWidth="1"/>
    <col min="2" max="2" width="46" customWidth="1"/>
    <col min="3" max="3" width="9" customWidth="1"/>
    <col min="4" max="4" width="15" customWidth="1"/>
    <col min="5" max="5" width="17" customWidth="1"/>
    <col min="6" max="6" width="9" customWidth="1"/>
    <col min="7" max="7" width="12" customWidth="1"/>
  </cols>
  <sheetData>
    <row r="1" spans="1:7" ht="15" customHeight="1" x14ac:dyDescent="0.2">
      <c r="A1" s="60" t="s">
        <v>181</v>
      </c>
      <c r="B1" s="60"/>
      <c r="C1" s="60"/>
      <c r="D1" s="60"/>
      <c r="E1" s="60"/>
      <c r="F1" s="60"/>
      <c r="G1" s="60"/>
    </row>
    <row r="2" spans="1:7" ht="15" customHeight="1" x14ac:dyDescent="0.2">
      <c r="A2" s="67" t="s">
        <v>182</v>
      </c>
      <c r="B2" s="67"/>
      <c r="C2" s="67"/>
      <c r="D2" s="67"/>
      <c r="E2" s="67"/>
      <c r="F2" s="67"/>
      <c r="G2" s="67"/>
    </row>
    <row r="4" spans="1:7" x14ac:dyDescent="0.2">
      <c r="A4" s="66" t="s">
        <v>183</v>
      </c>
      <c r="B4" s="66"/>
      <c r="C4" s="66"/>
      <c r="D4" s="66"/>
      <c r="E4" s="66"/>
      <c r="F4" s="66"/>
      <c r="G4" s="66"/>
    </row>
    <row r="5" spans="1:7" x14ac:dyDescent="0.2">
      <c r="A5" s="15" t="s">
        <v>184</v>
      </c>
      <c r="B5" s="15" t="s">
        <v>21</v>
      </c>
      <c r="C5" s="15" t="s">
        <v>22</v>
      </c>
      <c r="D5" s="15" t="s">
        <v>185</v>
      </c>
      <c r="E5" s="15" t="s">
        <v>186</v>
      </c>
      <c r="F5" s="15" t="s">
        <v>187</v>
      </c>
      <c r="G5" s="15" t="s">
        <v>188</v>
      </c>
    </row>
    <row r="6" spans="1:7" x14ac:dyDescent="0.2">
      <c r="A6" s="2" t="s">
        <v>189</v>
      </c>
      <c r="B6" s="4" t="s">
        <v>190</v>
      </c>
      <c r="C6" s="5" t="s">
        <v>191</v>
      </c>
      <c r="D6" s="5" t="s">
        <v>192</v>
      </c>
      <c r="E6" s="5"/>
      <c r="F6" s="5" t="s">
        <v>193</v>
      </c>
      <c r="G6" s="13">
        <f>ROUND(F6*E6,2)</f>
        <v>0</v>
      </c>
    </row>
    <row r="7" spans="1:7" x14ac:dyDescent="0.2">
      <c r="A7" s="2" t="s">
        <v>194</v>
      </c>
      <c r="B7" s="4" t="s">
        <v>195</v>
      </c>
      <c r="C7" s="5" t="s">
        <v>196</v>
      </c>
      <c r="D7" s="5" t="s">
        <v>197</v>
      </c>
      <c r="E7" s="5"/>
      <c r="F7" s="5" t="s">
        <v>198</v>
      </c>
      <c r="G7" s="13">
        <f t="shared" ref="G7:G8" si="0">ROUND(F7*E7,2)</f>
        <v>0</v>
      </c>
    </row>
    <row r="8" spans="1:7" x14ac:dyDescent="0.2">
      <c r="A8" s="2"/>
      <c r="B8" s="4" t="s">
        <v>199</v>
      </c>
      <c r="C8" s="5" t="s">
        <v>200</v>
      </c>
      <c r="D8" s="5" t="s">
        <v>201</v>
      </c>
      <c r="E8" s="5"/>
      <c r="F8" s="5" t="s">
        <v>202</v>
      </c>
      <c r="G8" s="13">
        <f t="shared" si="0"/>
        <v>0</v>
      </c>
    </row>
    <row r="9" spans="1:7" x14ac:dyDescent="0.2">
      <c r="A9" s="64" t="s">
        <v>203</v>
      </c>
      <c r="B9" s="64"/>
      <c r="C9" s="64"/>
      <c r="D9" s="64"/>
      <c r="E9" s="64"/>
      <c r="F9" s="64"/>
      <c r="G9" s="16">
        <f>SUM(G6:G8)</f>
        <v>0</v>
      </c>
    </row>
    <row r="10" spans="1:7" x14ac:dyDescent="0.2">
      <c r="A10" s="64" t="s">
        <v>204</v>
      </c>
      <c r="B10" s="64"/>
      <c r="C10" s="64"/>
      <c r="D10" s="64"/>
      <c r="E10" s="64"/>
      <c r="F10" s="64"/>
      <c r="G10" s="17">
        <v>1353</v>
      </c>
    </row>
    <row r="11" spans="1:7" x14ac:dyDescent="0.2">
      <c r="A11" s="64" t="s">
        <v>205</v>
      </c>
      <c r="B11" s="64"/>
      <c r="C11" s="64"/>
      <c r="D11" s="64"/>
      <c r="E11" s="64"/>
      <c r="F11" s="64"/>
      <c r="G11" s="16">
        <f>ROUND(G9/G10,2)</f>
        <v>0</v>
      </c>
    </row>
    <row r="12" spans="1:7" x14ac:dyDescent="0.2">
      <c r="A12" s="63" t="s">
        <v>206</v>
      </c>
      <c r="B12" s="63"/>
      <c r="C12" s="63"/>
      <c r="D12" s="63"/>
      <c r="E12" s="63"/>
      <c r="F12" s="63"/>
      <c r="G12" s="18">
        <f>G11</f>
        <v>0</v>
      </c>
    </row>
    <row r="13" spans="1:7" x14ac:dyDescent="0.2">
      <c r="A13" s="64" t="s">
        <v>207</v>
      </c>
      <c r="B13" s="64"/>
      <c r="C13" s="64"/>
      <c r="D13" s="64"/>
      <c r="E13" s="64"/>
      <c r="F13" s="64"/>
      <c r="G13" s="3">
        <f>ROUND(1.2721*G12,2)</f>
        <v>0</v>
      </c>
    </row>
    <row r="15" spans="1:7" x14ac:dyDescent="0.2">
      <c r="A15" s="66" t="s">
        <v>208</v>
      </c>
      <c r="B15" s="66"/>
      <c r="C15" s="66"/>
      <c r="D15" s="66"/>
      <c r="E15" s="66"/>
      <c r="F15" s="66"/>
      <c r="G15" s="66"/>
    </row>
    <row r="16" spans="1:7" x14ac:dyDescent="0.2">
      <c r="A16" s="15" t="s">
        <v>184</v>
      </c>
      <c r="B16" s="15" t="s">
        <v>21</v>
      </c>
      <c r="C16" s="15" t="s">
        <v>22</v>
      </c>
      <c r="D16" s="15" t="s">
        <v>185</v>
      </c>
      <c r="E16" s="15" t="s">
        <v>186</v>
      </c>
      <c r="F16" s="15" t="s">
        <v>187</v>
      </c>
      <c r="G16" s="15" t="s">
        <v>188</v>
      </c>
    </row>
    <row r="17" spans="1:7" x14ac:dyDescent="0.2">
      <c r="A17" s="2" t="s">
        <v>189</v>
      </c>
      <c r="B17" s="4" t="s">
        <v>209</v>
      </c>
      <c r="C17" s="5" t="s">
        <v>210</v>
      </c>
      <c r="D17" s="5" t="s">
        <v>192</v>
      </c>
      <c r="E17" s="5"/>
      <c r="F17" s="5" t="s">
        <v>193</v>
      </c>
      <c r="G17" s="13">
        <f>ROUND(F17*E17,2)</f>
        <v>0</v>
      </c>
    </row>
    <row r="18" spans="1:7" x14ac:dyDescent="0.2">
      <c r="A18" s="2" t="s">
        <v>194</v>
      </c>
      <c r="B18" s="4" t="s">
        <v>195</v>
      </c>
      <c r="C18" s="5" t="s">
        <v>196</v>
      </c>
      <c r="D18" s="5" t="s">
        <v>197</v>
      </c>
      <c r="E18" s="5"/>
      <c r="F18" s="5" t="s">
        <v>198</v>
      </c>
      <c r="G18" s="13">
        <f t="shared" ref="G18:G19" si="1">ROUND(F18*E18,2)</f>
        <v>0</v>
      </c>
    </row>
    <row r="19" spans="1:7" x14ac:dyDescent="0.2">
      <c r="A19" s="2"/>
      <c r="B19" s="4" t="s">
        <v>199</v>
      </c>
      <c r="C19" s="5" t="s">
        <v>200</v>
      </c>
      <c r="D19" s="5" t="s">
        <v>201</v>
      </c>
      <c r="E19" s="5"/>
      <c r="F19" s="5" t="s">
        <v>211</v>
      </c>
      <c r="G19" s="13">
        <f t="shared" si="1"/>
        <v>0</v>
      </c>
    </row>
    <row r="20" spans="1:7" x14ac:dyDescent="0.2">
      <c r="A20" s="64" t="s">
        <v>203</v>
      </c>
      <c r="B20" s="64"/>
      <c r="C20" s="64"/>
      <c r="D20" s="64"/>
      <c r="E20" s="64"/>
      <c r="F20" s="64"/>
      <c r="G20" s="16">
        <f>SUM(G17:G19)</f>
        <v>0</v>
      </c>
    </row>
    <row r="21" spans="1:7" x14ac:dyDescent="0.2">
      <c r="A21" s="64" t="s">
        <v>204</v>
      </c>
      <c r="B21" s="64"/>
      <c r="C21" s="64"/>
      <c r="D21" s="64"/>
      <c r="E21" s="64"/>
      <c r="F21" s="64"/>
      <c r="G21" s="17">
        <v>146.1</v>
      </c>
    </row>
    <row r="22" spans="1:7" x14ac:dyDescent="0.2">
      <c r="A22" s="64" t="s">
        <v>205</v>
      </c>
      <c r="B22" s="64"/>
      <c r="C22" s="64"/>
      <c r="D22" s="64"/>
      <c r="E22" s="64"/>
      <c r="F22" s="64"/>
      <c r="G22" s="16">
        <f>ROUND(G20/G21,2)</f>
        <v>0</v>
      </c>
    </row>
    <row r="23" spans="1:7" x14ac:dyDescent="0.2">
      <c r="A23" s="63" t="s">
        <v>206</v>
      </c>
      <c r="B23" s="63"/>
      <c r="C23" s="63"/>
      <c r="D23" s="63"/>
      <c r="E23" s="63"/>
      <c r="F23" s="63"/>
      <c r="G23" s="18">
        <f>G22</f>
        <v>0</v>
      </c>
    </row>
    <row r="24" spans="1:7" x14ac:dyDescent="0.2">
      <c r="A24" s="64" t="s">
        <v>207</v>
      </c>
      <c r="B24" s="64"/>
      <c r="C24" s="64"/>
      <c r="D24" s="64"/>
      <c r="E24" s="64"/>
      <c r="F24" s="64"/>
      <c r="G24" s="3">
        <f>ROUND(1.2721*G23,2)</f>
        <v>0</v>
      </c>
    </row>
    <row r="26" spans="1:7" x14ac:dyDescent="0.2">
      <c r="A26" s="66" t="s">
        <v>212</v>
      </c>
      <c r="B26" s="66"/>
      <c r="C26" s="66"/>
      <c r="D26" s="66"/>
      <c r="E26" s="66"/>
      <c r="F26" s="66"/>
      <c r="G26" s="66"/>
    </row>
    <row r="27" spans="1:7" x14ac:dyDescent="0.2">
      <c r="A27" s="15" t="s">
        <v>184</v>
      </c>
      <c r="B27" s="15" t="s">
        <v>21</v>
      </c>
      <c r="C27" s="15" t="s">
        <v>22</v>
      </c>
      <c r="D27" s="15" t="s">
        <v>185</v>
      </c>
      <c r="E27" s="15" t="s">
        <v>186</v>
      </c>
      <c r="F27" s="15" t="s">
        <v>187</v>
      </c>
      <c r="G27" s="15" t="s">
        <v>188</v>
      </c>
    </row>
    <row r="28" spans="1:7" x14ac:dyDescent="0.2">
      <c r="A28" s="2" t="s">
        <v>189</v>
      </c>
      <c r="B28" s="4" t="s">
        <v>213</v>
      </c>
      <c r="C28" s="5" t="s">
        <v>214</v>
      </c>
      <c r="D28" s="5" t="s">
        <v>192</v>
      </c>
      <c r="E28" s="5"/>
      <c r="F28" s="5" t="s">
        <v>193</v>
      </c>
      <c r="G28" s="13">
        <f>ROUND(F28*E28,2)</f>
        <v>0</v>
      </c>
    </row>
    <row r="29" spans="1:7" x14ac:dyDescent="0.2">
      <c r="A29" s="64" t="s">
        <v>203</v>
      </c>
      <c r="B29" s="64"/>
      <c r="C29" s="64"/>
      <c r="D29" s="64"/>
      <c r="E29" s="64"/>
      <c r="F29" s="64"/>
      <c r="G29" s="16">
        <f>SUM(G28)</f>
        <v>0</v>
      </c>
    </row>
    <row r="30" spans="1:7" x14ac:dyDescent="0.2">
      <c r="A30" s="64" t="s">
        <v>204</v>
      </c>
      <c r="B30" s="64"/>
      <c r="C30" s="64"/>
      <c r="D30" s="64"/>
      <c r="E30" s="64"/>
      <c r="F30" s="64"/>
      <c r="G30" s="17">
        <v>94.5</v>
      </c>
    </row>
    <row r="31" spans="1:7" x14ac:dyDescent="0.2">
      <c r="A31" s="64" t="s">
        <v>205</v>
      </c>
      <c r="B31" s="64"/>
      <c r="C31" s="64"/>
      <c r="D31" s="64"/>
      <c r="E31" s="64"/>
      <c r="F31" s="64"/>
      <c r="G31" s="16">
        <f>ROUNDDOWN(G29/G30,2)</f>
        <v>0</v>
      </c>
    </row>
    <row r="32" spans="1:7" x14ac:dyDescent="0.2">
      <c r="A32" s="63" t="s">
        <v>206</v>
      </c>
      <c r="B32" s="63"/>
      <c r="C32" s="63"/>
      <c r="D32" s="63"/>
      <c r="E32" s="63"/>
      <c r="F32" s="63"/>
      <c r="G32" s="18">
        <f>G31</f>
        <v>0</v>
      </c>
    </row>
    <row r="33" spans="1:7" x14ac:dyDescent="0.2">
      <c r="A33" s="64" t="s">
        <v>207</v>
      </c>
      <c r="B33" s="64"/>
      <c r="C33" s="64"/>
      <c r="D33" s="64"/>
      <c r="E33" s="64"/>
      <c r="F33" s="64"/>
      <c r="G33" s="3">
        <f>ROUND(1.2721*G32,2)</f>
        <v>0</v>
      </c>
    </row>
    <row r="35" spans="1:7" x14ac:dyDescent="0.2">
      <c r="A35" s="66" t="s">
        <v>215</v>
      </c>
      <c r="B35" s="66"/>
      <c r="C35" s="66"/>
      <c r="D35" s="66"/>
      <c r="E35" s="66"/>
      <c r="F35" s="66"/>
      <c r="G35" s="66"/>
    </row>
    <row r="36" spans="1:7" x14ac:dyDescent="0.2">
      <c r="A36" s="15" t="s">
        <v>184</v>
      </c>
      <c r="B36" s="15" t="s">
        <v>21</v>
      </c>
      <c r="C36" s="15" t="s">
        <v>22</v>
      </c>
      <c r="D36" s="15" t="s">
        <v>185</v>
      </c>
      <c r="E36" s="15" t="s">
        <v>186</v>
      </c>
      <c r="F36" s="15" t="s">
        <v>187</v>
      </c>
      <c r="G36" s="15" t="s">
        <v>188</v>
      </c>
    </row>
    <row r="37" spans="1:7" x14ac:dyDescent="0.2">
      <c r="A37" s="2" t="s">
        <v>189</v>
      </c>
      <c r="B37" s="4" t="s">
        <v>216</v>
      </c>
      <c r="C37" s="5" t="s">
        <v>217</v>
      </c>
      <c r="D37" s="5" t="s">
        <v>192</v>
      </c>
      <c r="E37" s="5"/>
      <c r="F37" s="5" t="s">
        <v>193</v>
      </c>
      <c r="G37" s="13">
        <f>ROUND(F37*E37,2)</f>
        <v>0</v>
      </c>
    </row>
    <row r="38" spans="1:7" x14ac:dyDescent="0.2">
      <c r="A38" s="2"/>
      <c r="B38" s="4" t="s">
        <v>218</v>
      </c>
      <c r="C38" s="5" t="s">
        <v>219</v>
      </c>
      <c r="D38" s="5" t="s">
        <v>192</v>
      </c>
      <c r="E38" s="5"/>
      <c r="F38" s="5" t="s">
        <v>202</v>
      </c>
      <c r="G38" s="13">
        <f t="shared" ref="G38:G42" si="2">ROUND(F38*E38,2)</f>
        <v>0</v>
      </c>
    </row>
    <row r="39" spans="1:7" x14ac:dyDescent="0.2">
      <c r="A39" s="2"/>
      <c r="B39" s="4" t="s">
        <v>220</v>
      </c>
      <c r="C39" s="5" t="s">
        <v>221</v>
      </c>
      <c r="D39" s="5" t="s">
        <v>222</v>
      </c>
      <c r="E39" s="5"/>
      <c r="F39" s="5" t="s">
        <v>193</v>
      </c>
      <c r="G39" s="13">
        <f t="shared" si="2"/>
        <v>0</v>
      </c>
    </row>
    <row r="40" spans="1:7" x14ac:dyDescent="0.2">
      <c r="A40" s="2"/>
      <c r="B40" s="4" t="s">
        <v>223</v>
      </c>
      <c r="C40" s="5" t="s">
        <v>224</v>
      </c>
      <c r="D40" s="5" t="s">
        <v>222</v>
      </c>
      <c r="E40" s="5"/>
      <c r="F40" s="5" t="s">
        <v>193</v>
      </c>
      <c r="G40" s="13">
        <f t="shared" si="2"/>
        <v>0</v>
      </c>
    </row>
    <row r="41" spans="1:7" x14ac:dyDescent="0.2">
      <c r="A41" s="2" t="s">
        <v>194</v>
      </c>
      <c r="B41" s="4" t="s">
        <v>195</v>
      </c>
      <c r="C41" s="5" t="s">
        <v>196</v>
      </c>
      <c r="D41" s="5" t="s">
        <v>197</v>
      </c>
      <c r="E41" s="5"/>
      <c r="F41" s="5" t="s">
        <v>225</v>
      </c>
      <c r="G41" s="13">
        <f t="shared" si="2"/>
        <v>0</v>
      </c>
    </row>
    <row r="42" spans="1:7" x14ac:dyDescent="0.2">
      <c r="A42" s="2"/>
      <c r="B42" s="4" t="s">
        <v>199</v>
      </c>
      <c r="C42" s="5" t="s">
        <v>200</v>
      </c>
      <c r="D42" s="5" t="s">
        <v>201</v>
      </c>
      <c r="E42" s="5"/>
      <c r="F42" s="5" t="s">
        <v>202</v>
      </c>
      <c r="G42" s="13">
        <f t="shared" si="2"/>
        <v>0</v>
      </c>
    </row>
    <row r="43" spans="1:7" x14ac:dyDescent="0.2">
      <c r="A43" s="64" t="s">
        <v>203</v>
      </c>
      <c r="B43" s="64"/>
      <c r="C43" s="64"/>
      <c r="D43" s="64"/>
      <c r="E43" s="64"/>
      <c r="F43" s="64"/>
      <c r="G43" s="16">
        <f>SUM(G37:G42)</f>
        <v>0</v>
      </c>
    </row>
    <row r="44" spans="1:7" x14ac:dyDescent="0.2">
      <c r="A44" s="64" t="s">
        <v>204</v>
      </c>
      <c r="B44" s="64"/>
      <c r="C44" s="64"/>
      <c r="D44" s="64"/>
      <c r="E44" s="64"/>
      <c r="F44" s="64"/>
      <c r="G44" s="17">
        <v>1355.4217000000001</v>
      </c>
    </row>
    <row r="45" spans="1:7" x14ac:dyDescent="0.2">
      <c r="A45" s="64" t="s">
        <v>205</v>
      </c>
      <c r="B45" s="64"/>
      <c r="C45" s="64"/>
      <c r="D45" s="64"/>
      <c r="E45" s="64"/>
      <c r="F45" s="64"/>
      <c r="G45" s="16">
        <f>ROUND(G43/G44,2)</f>
        <v>0</v>
      </c>
    </row>
    <row r="46" spans="1:7" x14ac:dyDescent="0.2">
      <c r="A46" s="63" t="s">
        <v>206</v>
      </c>
      <c r="B46" s="63"/>
      <c r="C46" s="63"/>
      <c r="D46" s="63"/>
      <c r="E46" s="63"/>
      <c r="F46" s="63"/>
      <c r="G46" s="18">
        <f>G45</f>
        <v>0</v>
      </c>
    </row>
    <row r="47" spans="1:7" x14ac:dyDescent="0.2">
      <c r="A47" s="64" t="s">
        <v>207</v>
      </c>
      <c r="B47" s="64"/>
      <c r="C47" s="64"/>
      <c r="D47" s="64"/>
      <c r="E47" s="64"/>
      <c r="F47" s="64"/>
      <c r="G47" s="3">
        <f>ROUND(1.2721*G46,2)</f>
        <v>0</v>
      </c>
    </row>
    <row r="49" spans="1:7" x14ac:dyDescent="0.2">
      <c r="A49" s="66" t="s">
        <v>226</v>
      </c>
      <c r="B49" s="66"/>
      <c r="C49" s="66"/>
      <c r="D49" s="66"/>
      <c r="E49" s="66"/>
      <c r="F49" s="66"/>
      <c r="G49" s="66"/>
    </row>
    <row r="50" spans="1:7" x14ac:dyDescent="0.2">
      <c r="A50" s="15" t="s">
        <v>184</v>
      </c>
      <c r="B50" s="15" t="s">
        <v>21</v>
      </c>
      <c r="C50" s="15" t="s">
        <v>22</v>
      </c>
      <c r="D50" s="15" t="s">
        <v>185</v>
      </c>
      <c r="E50" s="15" t="s">
        <v>186</v>
      </c>
      <c r="F50" s="15" t="s">
        <v>187</v>
      </c>
      <c r="G50" s="15" t="s">
        <v>188</v>
      </c>
    </row>
    <row r="51" spans="1:7" x14ac:dyDescent="0.2">
      <c r="A51" s="2" t="s">
        <v>189</v>
      </c>
      <c r="B51" s="4" t="s">
        <v>227</v>
      </c>
      <c r="C51" s="5" t="s">
        <v>228</v>
      </c>
      <c r="D51" s="5" t="s">
        <v>229</v>
      </c>
      <c r="E51" s="5"/>
      <c r="F51" s="5" t="s">
        <v>193</v>
      </c>
      <c r="G51" s="13">
        <f>ROUND(F51*E51,2)</f>
        <v>0</v>
      </c>
    </row>
    <row r="52" spans="1:7" x14ac:dyDescent="0.2">
      <c r="A52" s="2"/>
      <c r="B52" s="4" t="s">
        <v>230</v>
      </c>
      <c r="C52" s="5" t="s">
        <v>231</v>
      </c>
      <c r="D52" s="5" t="s">
        <v>229</v>
      </c>
      <c r="E52" s="5"/>
      <c r="F52" s="5" t="s">
        <v>193</v>
      </c>
      <c r="G52" s="13">
        <f t="shared" ref="G52:G58" si="3">ROUND(F52*E52,2)</f>
        <v>0</v>
      </c>
    </row>
    <row r="53" spans="1:7" x14ac:dyDescent="0.2">
      <c r="A53" s="2"/>
      <c r="B53" s="4" t="s">
        <v>220</v>
      </c>
      <c r="C53" s="5" t="s">
        <v>221</v>
      </c>
      <c r="D53" s="5" t="s">
        <v>232</v>
      </c>
      <c r="E53" s="5"/>
      <c r="F53" s="5" t="s">
        <v>193</v>
      </c>
      <c r="G53" s="13">
        <f t="shared" si="3"/>
        <v>0</v>
      </c>
    </row>
    <row r="54" spans="1:7" x14ac:dyDescent="0.2">
      <c r="A54" s="2"/>
      <c r="B54" s="4" t="s">
        <v>223</v>
      </c>
      <c r="C54" s="5" t="s">
        <v>224</v>
      </c>
      <c r="D54" s="5" t="s">
        <v>232</v>
      </c>
      <c r="E54" s="5"/>
      <c r="F54" s="5" t="s">
        <v>193</v>
      </c>
      <c r="G54" s="13">
        <f t="shared" si="3"/>
        <v>0</v>
      </c>
    </row>
    <row r="55" spans="1:7" x14ac:dyDescent="0.2">
      <c r="A55" s="2"/>
      <c r="B55" s="4" t="s">
        <v>233</v>
      </c>
      <c r="C55" s="5" t="s">
        <v>234</v>
      </c>
      <c r="D55" s="5" t="s">
        <v>235</v>
      </c>
      <c r="E55" s="5"/>
      <c r="F55" s="5" t="s">
        <v>193</v>
      </c>
      <c r="G55" s="13">
        <f t="shared" si="3"/>
        <v>0</v>
      </c>
    </row>
    <row r="56" spans="1:7" x14ac:dyDescent="0.2">
      <c r="A56" s="2" t="s">
        <v>194</v>
      </c>
      <c r="B56" s="4" t="s">
        <v>195</v>
      </c>
      <c r="C56" s="5" t="s">
        <v>196</v>
      </c>
      <c r="D56" s="5" t="s">
        <v>197</v>
      </c>
      <c r="E56" s="5"/>
      <c r="F56" s="5" t="s">
        <v>193</v>
      </c>
      <c r="G56" s="13">
        <f t="shared" si="3"/>
        <v>0</v>
      </c>
    </row>
    <row r="57" spans="1:7" x14ac:dyDescent="0.2">
      <c r="A57" s="2"/>
      <c r="B57" s="4" t="s">
        <v>199</v>
      </c>
      <c r="C57" s="5" t="s">
        <v>200</v>
      </c>
      <c r="D57" s="5" t="s">
        <v>201</v>
      </c>
      <c r="E57" s="5"/>
      <c r="F57" s="5" t="s">
        <v>236</v>
      </c>
      <c r="G57" s="13">
        <f t="shared" si="3"/>
        <v>0</v>
      </c>
    </row>
    <row r="58" spans="1:7" x14ac:dyDescent="0.2">
      <c r="A58" s="2" t="s">
        <v>237</v>
      </c>
      <c r="B58" s="4" t="s">
        <v>238</v>
      </c>
      <c r="C58" s="5" t="s">
        <v>239</v>
      </c>
      <c r="D58" s="5" t="s">
        <v>53</v>
      </c>
      <c r="E58" s="5"/>
      <c r="F58" s="5" t="s">
        <v>240</v>
      </c>
      <c r="G58" s="13">
        <f t="shared" si="3"/>
        <v>0</v>
      </c>
    </row>
    <row r="59" spans="1:7" x14ac:dyDescent="0.2">
      <c r="A59" s="64" t="s">
        <v>203</v>
      </c>
      <c r="B59" s="64"/>
      <c r="C59" s="64"/>
      <c r="D59" s="64"/>
      <c r="E59" s="64"/>
      <c r="F59" s="64"/>
      <c r="G59" s="16">
        <f>SUM(G51:G57)</f>
        <v>0</v>
      </c>
    </row>
    <row r="60" spans="1:7" x14ac:dyDescent="0.2">
      <c r="A60" s="64" t="s">
        <v>204</v>
      </c>
      <c r="B60" s="64"/>
      <c r="C60" s="64"/>
      <c r="D60" s="64"/>
      <c r="E60" s="64"/>
      <c r="F60" s="64"/>
      <c r="G60" s="17">
        <v>27.67</v>
      </c>
    </row>
    <row r="61" spans="1:7" x14ac:dyDescent="0.2">
      <c r="A61" s="64" t="s">
        <v>205</v>
      </c>
      <c r="B61" s="64"/>
      <c r="C61" s="64"/>
      <c r="D61" s="64"/>
      <c r="E61" s="64"/>
      <c r="F61" s="64"/>
      <c r="G61" s="16">
        <f>ROUND(G59/G60,2)</f>
        <v>0</v>
      </c>
    </row>
    <row r="62" spans="1:7" x14ac:dyDescent="0.2">
      <c r="A62" s="63" t="s">
        <v>206</v>
      </c>
      <c r="B62" s="63"/>
      <c r="C62" s="63"/>
      <c r="D62" s="63"/>
      <c r="E62" s="63"/>
      <c r="F62" s="63"/>
      <c r="G62" s="18">
        <f>G61+G58</f>
        <v>0</v>
      </c>
    </row>
    <row r="63" spans="1:7" x14ac:dyDescent="0.2">
      <c r="A63" s="64" t="s">
        <v>207</v>
      </c>
      <c r="B63" s="64"/>
      <c r="C63" s="64"/>
      <c r="D63" s="64"/>
      <c r="E63" s="64"/>
      <c r="F63" s="64"/>
      <c r="G63" s="3">
        <f>ROUND(1.2721*G62,2)</f>
        <v>0</v>
      </c>
    </row>
    <row r="65" spans="1:7" x14ac:dyDescent="0.2">
      <c r="A65" s="66" t="s">
        <v>241</v>
      </c>
      <c r="B65" s="66"/>
      <c r="C65" s="66"/>
      <c r="D65" s="66"/>
      <c r="E65" s="66"/>
      <c r="F65" s="66"/>
      <c r="G65" s="66"/>
    </row>
    <row r="66" spans="1:7" x14ac:dyDescent="0.2">
      <c r="A66" s="15" t="s">
        <v>184</v>
      </c>
      <c r="B66" s="15" t="s">
        <v>21</v>
      </c>
      <c r="C66" s="15" t="s">
        <v>22</v>
      </c>
      <c r="D66" s="15" t="s">
        <v>185</v>
      </c>
      <c r="E66" s="15" t="s">
        <v>186</v>
      </c>
      <c r="F66" s="15" t="s">
        <v>187</v>
      </c>
      <c r="G66" s="15" t="s">
        <v>188</v>
      </c>
    </row>
    <row r="67" spans="1:7" x14ac:dyDescent="0.2">
      <c r="A67" s="2" t="s">
        <v>189</v>
      </c>
      <c r="B67" s="4" t="s">
        <v>213</v>
      </c>
      <c r="C67" s="5" t="s">
        <v>214</v>
      </c>
      <c r="D67" s="5" t="s">
        <v>192</v>
      </c>
      <c r="E67" s="5"/>
      <c r="F67" s="5" t="s">
        <v>193</v>
      </c>
      <c r="G67" s="13">
        <f>ROUND(F67*E67,2)</f>
        <v>0</v>
      </c>
    </row>
    <row r="68" spans="1:7" x14ac:dyDescent="0.2">
      <c r="A68" s="64" t="s">
        <v>203</v>
      </c>
      <c r="B68" s="64"/>
      <c r="C68" s="64"/>
      <c r="D68" s="64"/>
      <c r="E68" s="64"/>
      <c r="F68" s="64"/>
      <c r="G68" s="16">
        <f>SUM(G67)</f>
        <v>0</v>
      </c>
    </row>
    <row r="69" spans="1:7" x14ac:dyDescent="0.2">
      <c r="A69" s="64" t="s">
        <v>204</v>
      </c>
      <c r="B69" s="64"/>
      <c r="C69" s="64"/>
      <c r="D69" s="64"/>
      <c r="E69" s="64"/>
      <c r="F69" s="64"/>
      <c r="G69" s="17">
        <v>250</v>
      </c>
    </row>
    <row r="70" spans="1:7" x14ac:dyDescent="0.2">
      <c r="A70" s="64" t="s">
        <v>205</v>
      </c>
      <c r="B70" s="64"/>
      <c r="C70" s="64"/>
      <c r="D70" s="64"/>
      <c r="E70" s="64"/>
      <c r="F70" s="64"/>
      <c r="G70" s="16">
        <f>ROUNDDOWN(G68/G69,2)</f>
        <v>0</v>
      </c>
    </row>
    <row r="71" spans="1:7" x14ac:dyDescent="0.2">
      <c r="A71" s="63" t="s">
        <v>206</v>
      </c>
      <c r="B71" s="63"/>
      <c r="C71" s="63"/>
      <c r="D71" s="63"/>
      <c r="E71" s="63"/>
      <c r="F71" s="63"/>
      <c r="G71" s="18">
        <f>G70</f>
        <v>0</v>
      </c>
    </row>
    <row r="72" spans="1:7" x14ac:dyDescent="0.2">
      <c r="A72" s="64" t="s">
        <v>207</v>
      </c>
      <c r="B72" s="64"/>
      <c r="C72" s="64"/>
      <c r="D72" s="64"/>
      <c r="E72" s="64"/>
      <c r="F72" s="64"/>
      <c r="G72" s="3">
        <f>ROUND(1.2721*G71,2)</f>
        <v>0</v>
      </c>
    </row>
    <row r="74" spans="1:7" x14ac:dyDescent="0.2">
      <c r="A74" s="66" t="s">
        <v>242</v>
      </c>
      <c r="B74" s="66"/>
      <c r="C74" s="66"/>
      <c r="D74" s="66"/>
      <c r="E74" s="66"/>
      <c r="F74" s="66"/>
      <c r="G74" s="66"/>
    </row>
    <row r="75" spans="1:7" x14ac:dyDescent="0.2">
      <c r="A75" s="15" t="s">
        <v>184</v>
      </c>
      <c r="B75" s="15" t="s">
        <v>21</v>
      </c>
      <c r="C75" s="15" t="s">
        <v>22</v>
      </c>
      <c r="D75" s="15" t="s">
        <v>185</v>
      </c>
      <c r="E75" s="15" t="s">
        <v>186</v>
      </c>
      <c r="F75" s="15" t="s">
        <v>187</v>
      </c>
      <c r="G75" s="15" t="s">
        <v>188</v>
      </c>
    </row>
    <row r="76" spans="1:7" x14ac:dyDescent="0.2">
      <c r="A76" s="2" t="s">
        <v>189</v>
      </c>
      <c r="B76" s="4" t="s">
        <v>213</v>
      </c>
      <c r="C76" s="5" t="s">
        <v>214</v>
      </c>
      <c r="D76" s="5" t="s">
        <v>192</v>
      </c>
      <c r="E76" s="5"/>
      <c r="F76" s="5" t="s">
        <v>193</v>
      </c>
      <c r="G76" s="13">
        <f>ROUND(F76*E76,2)</f>
        <v>0</v>
      </c>
    </row>
    <row r="77" spans="1:7" x14ac:dyDescent="0.2">
      <c r="A77" s="64" t="s">
        <v>203</v>
      </c>
      <c r="B77" s="64"/>
      <c r="C77" s="64"/>
      <c r="D77" s="64"/>
      <c r="E77" s="64"/>
      <c r="F77" s="64"/>
      <c r="G77" s="16">
        <f>SUM(G76)</f>
        <v>0</v>
      </c>
    </row>
    <row r="78" spans="1:7" x14ac:dyDescent="0.2">
      <c r="A78" s="64" t="s">
        <v>204</v>
      </c>
      <c r="B78" s="64"/>
      <c r="C78" s="64"/>
      <c r="D78" s="64"/>
      <c r="E78" s="64"/>
      <c r="F78" s="64"/>
      <c r="G78" s="17">
        <v>375</v>
      </c>
    </row>
    <row r="79" spans="1:7" x14ac:dyDescent="0.2">
      <c r="A79" s="64" t="s">
        <v>205</v>
      </c>
      <c r="B79" s="64"/>
      <c r="C79" s="64"/>
      <c r="D79" s="64"/>
      <c r="E79" s="64"/>
      <c r="F79" s="64"/>
      <c r="G79" s="16">
        <f>ROUND(G77/G78,2)</f>
        <v>0</v>
      </c>
    </row>
    <row r="80" spans="1:7" x14ac:dyDescent="0.2">
      <c r="A80" s="63" t="s">
        <v>206</v>
      </c>
      <c r="B80" s="63"/>
      <c r="C80" s="63"/>
      <c r="D80" s="63"/>
      <c r="E80" s="63"/>
      <c r="F80" s="63"/>
      <c r="G80" s="18">
        <f>G79</f>
        <v>0</v>
      </c>
    </row>
    <row r="81" spans="1:7" x14ac:dyDescent="0.2">
      <c r="A81" s="64" t="s">
        <v>207</v>
      </c>
      <c r="B81" s="64"/>
      <c r="C81" s="64"/>
      <c r="D81" s="64"/>
      <c r="E81" s="64"/>
      <c r="F81" s="64"/>
      <c r="G81" s="3">
        <f>ROUND(1.2721*G80,2)</f>
        <v>0</v>
      </c>
    </row>
    <row r="83" spans="1:7" x14ac:dyDescent="0.2">
      <c r="A83" s="66" t="s">
        <v>243</v>
      </c>
      <c r="B83" s="66"/>
      <c r="C83" s="66"/>
      <c r="D83" s="66"/>
      <c r="E83" s="66"/>
      <c r="F83" s="66"/>
      <c r="G83" s="66"/>
    </row>
    <row r="84" spans="1:7" x14ac:dyDescent="0.2">
      <c r="A84" s="15" t="s">
        <v>184</v>
      </c>
      <c r="B84" s="15" t="s">
        <v>21</v>
      </c>
      <c r="C84" s="15" t="s">
        <v>22</v>
      </c>
      <c r="D84" s="15" t="s">
        <v>185</v>
      </c>
      <c r="E84" s="15" t="s">
        <v>186</v>
      </c>
      <c r="F84" s="15" t="s">
        <v>187</v>
      </c>
      <c r="G84" s="15" t="s">
        <v>188</v>
      </c>
    </row>
    <row r="85" spans="1:7" x14ac:dyDescent="0.2">
      <c r="A85" s="2" t="s">
        <v>189</v>
      </c>
      <c r="B85" s="4" t="s">
        <v>216</v>
      </c>
      <c r="C85" s="5" t="s">
        <v>217</v>
      </c>
      <c r="D85" s="5" t="s">
        <v>192</v>
      </c>
      <c r="E85" s="5"/>
      <c r="F85" s="5" t="s">
        <v>193</v>
      </c>
      <c r="G85" s="13">
        <f>ROUND(F85*E85,2)</f>
        <v>0</v>
      </c>
    </row>
    <row r="86" spans="1:7" x14ac:dyDescent="0.2">
      <c r="A86" s="64" t="s">
        <v>203</v>
      </c>
      <c r="B86" s="64"/>
      <c r="C86" s="64"/>
      <c r="D86" s="64"/>
      <c r="E86" s="64"/>
      <c r="F86" s="64"/>
      <c r="G86" s="16">
        <f>SUM(G85)</f>
        <v>0</v>
      </c>
    </row>
    <row r="87" spans="1:7" x14ac:dyDescent="0.2">
      <c r="A87" s="64" t="s">
        <v>204</v>
      </c>
      <c r="B87" s="64"/>
      <c r="C87" s="64"/>
      <c r="D87" s="64"/>
      <c r="E87" s="64"/>
      <c r="F87" s="64"/>
      <c r="G87" s="17">
        <v>149.4</v>
      </c>
    </row>
    <row r="88" spans="1:7" x14ac:dyDescent="0.2">
      <c r="A88" s="64" t="s">
        <v>205</v>
      </c>
      <c r="B88" s="64"/>
      <c r="C88" s="64"/>
      <c r="D88" s="64"/>
      <c r="E88" s="64"/>
      <c r="F88" s="64"/>
      <c r="G88" s="16">
        <f>ROUND(G86/G87,2)</f>
        <v>0</v>
      </c>
    </row>
    <row r="89" spans="1:7" x14ac:dyDescent="0.2">
      <c r="A89" s="63" t="s">
        <v>206</v>
      </c>
      <c r="B89" s="63"/>
      <c r="C89" s="63"/>
      <c r="D89" s="63"/>
      <c r="E89" s="63"/>
      <c r="F89" s="63"/>
      <c r="G89" s="18">
        <f>G88</f>
        <v>0</v>
      </c>
    </row>
    <row r="90" spans="1:7" x14ac:dyDescent="0.2">
      <c r="A90" s="64" t="s">
        <v>207</v>
      </c>
      <c r="B90" s="64"/>
      <c r="C90" s="64"/>
      <c r="D90" s="64"/>
      <c r="E90" s="64"/>
      <c r="F90" s="64"/>
      <c r="G90" s="3">
        <f>ROUND(1.2721*G89,2)</f>
        <v>0</v>
      </c>
    </row>
    <row r="92" spans="1:7" x14ac:dyDescent="0.2">
      <c r="A92" s="66" t="s">
        <v>244</v>
      </c>
      <c r="B92" s="66"/>
      <c r="C92" s="66"/>
      <c r="D92" s="66"/>
      <c r="E92" s="66"/>
      <c r="F92" s="66"/>
      <c r="G92" s="66"/>
    </row>
    <row r="93" spans="1:7" x14ac:dyDescent="0.2">
      <c r="A93" s="15" t="s">
        <v>184</v>
      </c>
      <c r="B93" s="15" t="s">
        <v>21</v>
      </c>
      <c r="C93" s="15" t="s">
        <v>22</v>
      </c>
      <c r="D93" s="15" t="s">
        <v>185</v>
      </c>
      <c r="E93" s="15" t="s">
        <v>186</v>
      </c>
      <c r="F93" s="15" t="s">
        <v>187</v>
      </c>
      <c r="G93" s="15" t="s">
        <v>188</v>
      </c>
    </row>
    <row r="94" spans="1:7" x14ac:dyDescent="0.2">
      <c r="A94" s="2" t="s">
        <v>189</v>
      </c>
      <c r="B94" s="4" t="s">
        <v>245</v>
      </c>
      <c r="C94" s="5" t="s">
        <v>246</v>
      </c>
      <c r="D94" s="5" t="s">
        <v>192</v>
      </c>
      <c r="E94" s="5"/>
      <c r="F94" s="5" t="s">
        <v>193</v>
      </c>
      <c r="G94" s="13">
        <f>ROUND(F94*E94,2)</f>
        <v>0</v>
      </c>
    </row>
    <row r="95" spans="1:7" x14ac:dyDescent="0.2">
      <c r="A95" s="2" t="s">
        <v>194</v>
      </c>
      <c r="B95" s="4" t="s">
        <v>247</v>
      </c>
      <c r="C95" s="5" t="s">
        <v>248</v>
      </c>
      <c r="D95" s="5" t="s">
        <v>249</v>
      </c>
      <c r="E95" s="5"/>
      <c r="F95" s="5" t="s">
        <v>250</v>
      </c>
      <c r="G95" s="13">
        <f t="shared" ref="G95:G100" si="4">ROUND(F95*E95,2)</f>
        <v>0</v>
      </c>
    </row>
    <row r="96" spans="1:7" x14ac:dyDescent="0.2">
      <c r="A96" s="2"/>
      <c r="B96" s="4" t="s">
        <v>195</v>
      </c>
      <c r="C96" s="5" t="s">
        <v>196</v>
      </c>
      <c r="D96" s="5" t="s">
        <v>197</v>
      </c>
      <c r="E96" s="5"/>
      <c r="F96" s="5" t="s">
        <v>193</v>
      </c>
      <c r="G96" s="13">
        <f t="shared" si="4"/>
        <v>0</v>
      </c>
    </row>
    <row r="97" spans="1:7" x14ac:dyDescent="0.2">
      <c r="A97" s="2" t="s">
        <v>251</v>
      </c>
      <c r="B97" s="4" t="s">
        <v>252</v>
      </c>
      <c r="C97" s="5" t="s">
        <v>253</v>
      </c>
      <c r="D97" s="5" t="s">
        <v>74</v>
      </c>
      <c r="E97" s="5"/>
      <c r="F97" s="5" t="s">
        <v>254</v>
      </c>
      <c r="G97" s="13">
        <f t="shared" si="4"/>
        <v>0</v>
      </c>
    </row>
    <row r="98" spans="1:7" x14ac:dyDescent="0.2">
      <c r="A98" s="2"/>
      <c r="B98" s="4" t="s">
        <v>255</v>
      </c>
      <c r="C98" s="5" t="s">
        <v>256</v>
      </c>
      <c r="D98" s="5" t="s">
        <v>257</v>
      </c>
      <c r="E98" s="5"/>
      <c r="F98" s="5" t="s">
        <v>258</v>
      </c>
      <c r="G98" s="13">
        <f t="shared" si="4"/>
        <v>0</v>
      </c>
    </row>
    <row r="99" spans="1:7" x14ac:dyDescent="0.2">
      <c r="A99" s="2"/>
      <c r="B99" s="4" t="s">
        <v>259</v>
      </c>
      <c r="C99" s="5" t="s">
        <v>260</v>
      </c>
      <c r="D99" s="5" t="s">
        <v>257</v>
      </c>
      <c r="E99" s="5"/>
      <c r="F99" s="5" t="s">
        <v>261</v>
      </c>
      <c r="G99" s="13">
        <f t="shared" si="4"/>
        <v>0</v>
      </c>
    </row>
    <row r="100" spans="1:7" x14ac:dyDescent="0.2">
      <c r="A100" s="2"/>
      <c r="B100" s="4" t="s">
        <v>262</v>
      </c>
      <c r="C100" s="5" t="s">
        <v>263</v>
      </c>
      <c r="D100" s="5" t="s">
        <v>257</v>
      </c>
      <c r="E100" s="5"/>
      <c r="F100" s="5" t="s">
        <v>264</v>
      </c>
      <c r="G100" s="13">
        <f t="shared" si="4"/>
        <v>0</v>
      </c>
    </row>
    <row r="101" spans="1:7" x14ac:dyDescent="0.2">
      <c r="A101" s="64" t="s">
        <v>203</v>
      </c>
      <c r="B101" s="64"/>
      <c r="C101" s="64"/>
      <c r="D101" s="64"/>
      <c r="E101" s="64"/>
      <c r="F101" s="64"/>
      <c r="G101" s="16">
        <f>SUM(G94:G96)</f>
        <v>0</v>
      </c>
    </row>
    <row r="102" spans="1:7" x14ac:dyDescent="0.2">
      <c r="A102" s="64" t="s">
        <v>204</v>
      </c>
      <c r="B102" s="64"/>
      <c r="C102" s="64"/>
      <c r="D102" s="64"/>
      <c r="E102" s="64"/>
      <c r="F102" s="64"/>
      <c r="G102" s="17">
        <v>300</v>
      </c>
    </row>
    <row r="103" spans="1:7" x14ac:dyDescent="0.2">
      <c r="A103" s="64" t="s">
        <v>205</v>
      </c>
      <c r="B103" s="64"/>
      <c r="C103" s="64"/>
      <c r="D103" s="64"/>
      <c r="E103" s="64"/>
      <c r="F103" s="64"/>
      <c r="G103" s="16">
        <f>ROUNDDOWN(G101/G102,2)</f>
        <v>0</v>
      </c>
    </row>
    <row r="104" spans="1:7" x14ac:dyDescent="0.2">
      <c r="A104" s="63" t="s">
        <v>206</v>
      </c>
      <c r="B104" s="63"/>
      <c r="C104" s="63"/>
      <c r="D104" s="63"/>
      <c r="E104" s="63"/>
      <c r="F104" s="63"/>
      <c r="G104" s="14">
        <f>G103+G97+G98+G99+G100</f>
        <v>0</v>
      </c>
    </row>
    <row r="105" spans="1:7" x14ac:dyDescent="0.2">
      <c r="A105" s="64" t="s">
        <v>207</v>
      </c>
      <c r="B105" s="64"/>
      <c r="C105" s="64"/>
      <c r="D105" s="64"/>
      <c r="E105" s="64"/>
      <c r="F105" s="64"/>
      <c r="G105" s="3">
        <f>ROUND(1.2721*G104,2)</f>
        <v>0</v>
      </c>
    </row>
    <row r="107" spans="1:7" x14ac:dyDescent="0.2">
      <c r="A107" s="66" t="s">
        <v>265</v>
      </c>
      <c r="B107" s="66"/>
      <c r="C107" s="66"/>
      <c r="D107" s="66"/>
      <c r="E107" s="66"/>
      <c r="F107" s="66"/>
      <c r="G107" s="66"/>
    </row>
    <row r="108" spans="1:7" x14ac:dyDescent="0.2">
      <c r="A108" s="15" t="s">
        <v>184</v>
      </c>
      <c r="B108" s="15" t="s">
        <v>21</v>
      </c>
      <c r="C108" s="15" t="s">
        <v>22</v>
      </c>
      <c r="D108" s="15" t="s">
        <v>185</v>
      </c>
      <c r="E108" s="15" t="s">
        <v>186</v>
      </c>
      <c r="F108" s="15" t="s">
        <v>187</v>
      </c>
      <c r="G108" s="15" t="s">
        <v>188</v>
      </c>
    </row>
    <row r="109" spans="1:7" x14ac:dyDescent="0.2">
      <c r="A109" s="2" t="s">
        <v>189</v>
      </c>
      <c r="B109" s="4" t="s">
        <v>266</v>
      </c>
      <c r="C109" s="5" t="s">
        <v>267</v>
      </c>
      <c r="D109" s="5" t="s">
        <v>268</v>
      </c>
      <c r="E109" s="5"/>
      <c r="F109" s="5" t="s">
        <v>193</v>
      </c>
      <c r="G109" s="13">
        <f>ROUND(F109*E109,2)</f>
        <v>0</v>
      </c>
    </row>
    <row r="110" spans="1:7" x14ac:dyDescent="0.2">
      <c r="A110" s="2" t="s">
        <v>194</v>
      </c>
      <c r="B110" s="4" t="s">
        <v>247</v>
      </c>
      <c r="C110" s="5" t="s">
        <v>248</v>
      </c>
      <c r="D110" s="5" t="s">
        <v>249</v>
      </c>
      <c r="E110" s="5"/>
      <c r="F110" s="5" t="s">
        <v>193</v>
      </c>
      <c r="G110" s="13">
        <f t="shared" ref="G110:G115" si="5">ROUND(F110*E110,2)</f>
        <v>0</v>
      </c>
    </row>
    <row r="111" spans="1:7" x14ac:dyDescent="0.2">
      <c r="A111" s="2"/>
      <c r="B111" s="4" t="s">
        <v>269</v>
      </c>
      <c r="C111" s="5" t="s">
        <v>270</v>
      </c>
      <c r="D111" s="5" t="s">
        <v>271</v>
      </c>
      <c r="E111" s="5"/>
      <c r="F111" s="5" t="s">
        <v>272</v>
      </c>
      <c r="G111" s="13">
        <f>ROUNDDOWN(F111*E111,2)</f>
        <v>0</v>
      </c>
    </row>
    <row r="112" spans="1:7" x14ac:dyDescent="0.2">
      <c r="A112" s="2"/>
      <c r="B112" s="4" t="s">
        <v>195</v>
      </c>
      <c r="C112" s="5" t="s">
        <v>196</v>
      </c>
      <c r="D112" s="5" t="s">
        <v>197</v>
      </c>
      <c r="E112" s="5"/>
      <c r="F112" s="5" t="s">
        <v>273</v>
      </c>
      <c r="G112" s="13">
        <f>ROUND(F112*E112,2)</f>
        <v>0</v>
      </c>
    </row>
    <row r="113" spans="1:7" x14ac:dyDescent="0.2">
      <c r="A113" s="2" t="s">
        <v>251</v>
      </c>
      <c r="B113" s="4" t="s">
        <v>274</v>
      </c>
      <c r="C113" s="5" t="s">
        <v>275</v>
      </c>
      <c r="D113" s="5" t="s">
        <v>18</v>
      </c>
      <c r="E113" s="5"/>
      <c r="F113" s="5" t="s">
        <v>276</v>
      </c>
      <c r="G113" s="13">
        <f t="shared" si="5"/>
        <v>0</v>
      </c>
    </row>
    <row r="114" spans="1:7" x14ac:dyDescent="0.2">
      <c r="A114" s="2"/>
      <c r="B114" s="4" t="s">
        <v>277</v>
      </c>
      <c r="C114" s="5" t="s">
        <v>278</v>
      </c>
      <c r="D114" s="5" t="s">
        <v>18</v>
      </c>
      <c r="E114" s="5"/>
      <c r="F114" s="5" t="s">
        <v>193</v>
      </c>
      <c r="G114" s="13">
        <f t="shared" si="5"/>
        <v>0</v>
      </c>
    </row>
    <row r="115" spans="1:7" x14ac:dyDescent="0.2">
      <c r="A115" s="2"/>
      <c r="B115" s="4" t="s">
        <v>279</v>
      </c>
      <c r="C115" s="5" t="s">
        <v>280</v>
      </c>
      <c r="D115" s="5" t="s">
        <v>281</v>
      </c>
      <c r="E115" s="5"/>
      <c r="F115" s="5" t="s">
        <v>211</v>
      </c>
      <c r="G115" s="13">
        <f t="shared" si="5"/>
        <v>0</v>
      </c>
    </row>
    <row r="116" spans="1:7" x14ac:dyDescent="0.2">
      <c r="A116" s="64" t="s">
        <v>203</v>
      </c>
      <c r="B116" s="64"/>
      <c r="C116" s="64"/>
      <c r="D116" s="64"/>
      <c r="E116" s="64"/>
      <c r="F116" s="64"/>
      <c r="G116" s="16">
        <f>SUM(G109:G112)</f>
        <v>0</v>
      </c>
    </row>
    <row r="117" spans="1:7" x14ac:dyDescent="0.2">
      <c r="A117" s="64" t="s">
        <v>204</v>
      </c>
      <c r="B117" s="64"/>
      <c r="C117" s="64"/>
      <c r="D117" s="64"/>
      <c r="E117" s="64"/>
      <c r="F117" s="64"/>
      <c r="G117" s="17">
        <v>4</v>
      </c>
    </row>
    <row r="118" spans="1:7" x14ac:dyDescent="0.2">
      <c r="A118" s="64" t="s">
        <v>205</v>
      </c>
      <c r="B118" s="64"/>
      <c r="C118" s="64"/>
      <c r="D118" s="64"/>
      <c r="E118" s="64"/>
      <c r="F118" s="64"/>
      <c r="G118" s="16">
        <f>ROUND(G116/G117,2)</f>
        <v>0</v>
      </c>
    </row>
    <row r="119" spans="1:7" x14ac:dyDescent="0.2">
      <c r="A119" s="63" t="s">
        <v>206</v>
      </c>
      <c r="B119" s="63"/>
      <c r="C119" s="63"/>
      <c r="D119" s="63"/>
      <c r="E119" s="63"/>
      <c r="F119" s="63"/>
      <c r="G119" s="18">
        <f>G118+G113+G114+G115</f>
        <v>0</v>
      </c>
    </row>
    <row r="120" spans="1:7" x14ac:dyDescent="0.2">
      <c r="A120" s="64" t="s">
        <v>207</v>
      </c>
      <c r="B120" s="64"/>
      <c r="C120" s="64"/>
      <c r="D120" s="64"/>
      <c r="E120" s="64"/>
      <c r="F120" s="64"/>
      <c r="G120" s="3">
        <f>ROUND(1.2721*G119,2)</f>
        <v>0</v>
      </c>
    </row>
    <row r="122" spans="1:7" ht="39.75" customHeight="1" x14ac:dyDescent="0.2">
      <c r="A122" s="65" t="s">
        <v>282</v>
      </c>
      <c r="B122" s="65"/>
      <c r="C122" s="65"/>
      <c r="D122" s="65"/>
      <c r="E122" s="65"/>
      <c r="F122" s="65"/>
      <c r="G122" s="65"/>
    </row>
  </sheetData>
  <mergeCells count="63">
    <mergeCell ref="A1:G1"/>
    <mergeCell ref="A2:G2"/>
    <mergeCell ref="A4:G4"/>
    <mergeCell ref="A9:F9"/>
    <mergeCell ref="A10:F10"/>
    <mergeCell ref="A11:F11"/>
    <mergeCell ref="A12:F12"/>
    <mergeCell ref="A13:F13"/>
    <mergeCell ref="A15:G15"/>
    <mergeCell ref="A20:F20"/>
    <mergeCell ref="A21:F21"/>
    <mergeCell ref="A22:F22"/>
    <mergeCell ref="A23:F23"/>
    <mergeCell ref="A24:F24"/>
    <mergeCell ref="A26:G26"/>
    <mergeCell ref="A29:F29"/>
    <mergeCell ref="A30:F30"/>
    <mergeCell ref="A31:F31"/>
    <mergeCell ref="A32:F32"/>
    <mergeCell ref="A33:F33"/>
    <mergeCell ref="A35:G35"/>
    <mergeCell ref="A43:F43"/>
    <mergeCell ref="A44:F44"/>
    <mergeCell ref="A45:F45"/>
    <mergeCell ref="A46:F46"/>
    <mergeCell ref="A47:F47"/>
    <mergeCell ref="A49:G49"/>
    <mergeCell ref="A59:F59"/>
    <mergeCell ref="A60:F60"/>
    <mergeCell ref="A61:F61"/>
    <mergeCell ref="A62:F62"/>
    <mergeCell ref="A63:F63"/>
    <mergeCell ref="A65:G65"/>
    <mergeCell ref="A68:F68"/>
    <mergeCell ref="A69:F69"/>
    <mergeCell ref="A70:F70"/>
    <mergeCell ref="A71:F71"/>
    <mergeCell ref="A72:F72"/>
    <mergeCell ref="A74:G74"/>
    <mergeCell ref="A77:F77"/>
    <mergeCell ref="A78:F78"/>
    <mergeCell ref="A79:F79"/>
    <mergeCell ref="A80:F80"/>
    <mergeCell ref="A81:F81"/>
    <mergeCell ref="A83:G83"/>
    <mergeCell ref="A86:F86"/>
    <mergeCell ref="A87:F87"/>
    <mergeCell ref="A88:F88"/>
    <mergeCell ref="A89:F89"/>
    <mergeCell ref="A90:F90"/>
    <mergeCell ref="A92:G92"/>
    <mergeCell ref="A101:F101"/>
    <mergeCell ref="A102:F102"/>
    <mergeCell ref="A103:F103"/>
    <mergeCell ref="A104:F104"/>
    <mergeCell ref="A119:F119"/>
    <mergeCell ref="A120:F120"/>
    <mergeCell ref="A122:G122"/>
    <mergeCell ref="A105:F105"/>
    <mergeCell ref="A107:G107"/>
    <mergeCell ref="A116:F116"/>
    <mergeCell ref="A117:F117"/>
    <mergeCell ref="A118:F118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rowBreaks count="3" manualBreakCount="3">
    <brk id="34" max="16383" man="1"/>
    <brk id="72" max="16383" man="1"/>
    <brk id="106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view="pageBreakPreview" zoomScaleNormal="100" zoomScaleSheetLayoutView="100" workbookViewId="0">
      <selection activeCell="N19" sqref="N19"/>
    </sheetView>
  </sheetViews>
  <sheetFormatPr baseColWidth="10" defaultColWidth="8.6640625" defaultRowHeight="15" x14ac:dyDescent="0.2"/>
  <cols>
    <col min="1" max="1" width="16" customWidth="1"/>
    <col min="2" max="2" width="6" customWidth="1"/>
    <col min="3" max="12" width="11" customWidth="1"/>
  </cols>
  <sheetData>
    <row r="1" spans="1:12" ht="15" customHeight="1" x14ac:dyDescent="0.2">
      <c r="A1" s="60" t="s">
        <v>283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" customHeight="1" x14ac:dyDescent="0.2">
      <c r="A2" s="67" t="s">
        <v>284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4" spans="1:12" ht="26" x14ac:dyDescent="0.2">
      <c r="C4" s="1" t="s">
        <v>285</v>
      </c>
      <c r="D4" s="1" t="s">
        <v>286</v>
      </c>
      <c r="E4" s="1" t="s">
        <v>287</v>
      </c>
      <c r="F4" s="1" t="s">
        <v>288</v>
      </c>
      <c r="G4" s="1" t="s">
        <v>289</v>
      </c>
      <c r="H4" s="1" t="s">
        <v>290</v>
      </c>
      <c r="I4" s="1" t="s">
        <v>291</v>
      </c>
      <c r="J4" s="1" t="s">
        <v>292</v>
      </c>
      <c r="K4" s="1" t="s">
        <v>293</v>
      </c>
      <c r="L4" s="1" t="s">
        <v>294</v>
      </c>
    </row>
    <row r="5" spans="1:12" x14ac:dyDescent="0.2">
      <c r="A5" s="69" t="s">
        <v>295</v>
      </c>
      <c r="B5" s="69"/>
      <c r="C5" s="19">
        <v>3.6700000000000003E-2</v>
      </c>
      <c r="D5" s="19">
        <v>7.2999999999999995E-2</v>
      </c>
      <c r="E5" s="19">
        <v>7.4999999999999997E-3</v>
      </c>
      <c r="F5" s="19">
        <v>1.1000000000000001E-3</v>
      </c>
      <c r="G5" s="19">
        <v>5.5999999999999999E-3</v>
      </c>
      <c r="H5" s="19">
        <v>2.4E-2</v>
      </c>
      <c r="I5" s="19">
        <v>6.4999999999999997E-3</v>
      </c>
      <c r="J5" s="19">
        <v>0.03</v>
      </c>
      <c r="K5" s="19">
        <v>0</v>
      </c>
      <c r="L5" s="20">
        <f>((1+C5+F5+G5)*(1+E5)*(1+D5))/(1-H5-I5-J5-K5)-1</f>
        <v>0.20060134273549757</v>
      </c>
    </row>
    <row r="7" spans="1:12" x14ac:dyDescent="0.2">
      <c r="A7" s="68" t="s">
        <v>296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x14ac:dyDescent="0.2">
      <c r="A8" s="68" t="s">
        <v>297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x14ac:dyDescent="0.2">
      <c r="A9" s="68" t="s">
        <v>298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x14ac:dyDescent="0.2">
      <c r="A10" s="68" t="s">
        <v>299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x14ac:dyDescent="0.2">
      <c r="A11" s="68" t="s">
        <v>300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x14ac:dyDescent="0.2">
      <c r="A12" s="68" t="s">
        <v>301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x14ac:dyDescent="0.2">
      <c r="A13" s="68" t="s">
        <v>302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2" x14ac:dyDescent="0.2">
      <c r="A14" s="68" t="s">
        <v>303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2" x14ac:dyDescent="0.2">
      <c r="A15" s="68" t="s">
        <v>304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x14ac:dyDescent="0.2">
      <c r="A16" s="68" t="s">
        <v>305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2" x14ac:dyDescent="0.2">
      <c r="A17" s="68" t="s">
        <v>306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14">
    <mergeCell ref="A1:L1"/>
    <mergeCell ref="A2:L2"/>
    <mergeCell ref="A5:B5"/>
    <mergeCell ref="A7:L7"/>
    <mergeCell ref="A8:L8"/>
    <mergeCell ref="A14:L14"/>
    <mergeCell ref="A15:L15"/>
    <mergeCell ref="A16:L16"/>
    <mergeCell ref="A17:L17"/>
    <mergeCell ref="A9:L9"/>
    <mergeCell ref="A10:L10"/>
    <mergeCell ref="A11:L11"/>
    <mergeCell ref="A12:L12"/>
    <mergeCell ref="A13:L13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"/>
  <sheetViews>
    <sheetView view="pageBreakPreview" zoomScaleNormal="100" zoomScaleSheetLayoutView="100" workbookViewId="0">
      <selection activeCell="H22" sqref="H22"/>
    </sheetView>
  </sheetViews>
  <sheetFormatPr baseColWidth="10" defaultColWidth="8.6640625" defaultRowHeight="15" x14ac:dyDescent="0.2"/>
  <cols>
    <col min="1" max="1" width="16" customWidth="1"/>
    <col min="2" max="2" width="6" customWidth="1"/>
    <col min="3" max="12" width="11" customWidth="1"/>
  </cols>
  <sheetData>
    <row r="1" spans="1:12" ht="15" customHeight="1" x14ac:dyDescent="0.2">
      <c r="A1" s="60" t="s">
        <v>307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" customHeight="1" x14ac:dyDescent="0.2">
      <c r="A2" s="67" t="s">
        <v>284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4" spans="1:12" ht="26" x14ac:dyDescent="0.2">
      <c r="C4" s="1" t="s">
        <v>285</v>
      </c>
      <c r="D4" s="1" t="s">
        <v>286</v>
      </c>
      <c r="E4" s="1" t="s">
        <v>287</v>
      </c>
      <c r="F4" s="1" t="s">
        <v>288</v>
      </c>
      <c r="G4" s="1" t="s">
        <v>289</v>
      </c>
      <c r="H4" s="1" t="s">
        <v>290</v>
      </c>
      <c r="I4" s="1" t="s">
        <v>291</v>
      </c>
      <c r="J4" s="1" t="s">
        <v>292</v>
      </c>
      <c r="K4" s="1" t="s">
        <v>293</v>
      </c>
      <c r="L4" s="1" t="s">
        <v>294</v>
      </c>
    </row>
    <row r="5" spans="1:12" x14ac:dyDescent="0.2">
      <c r="A5" s="69" t="s">
        <v>295</v>
      </c>
      <c r="B5" s="69"/>
      <c r="C5" s="19">
        <v>2.1999999999999999E-2</v>
      </c>
      <c r="D5" s="19">
        <v>4.3799999999999999E-2</v>
      </c>
      <c r="E5" s="19">
        <v>4.4999999999999997E-3</v>
      </c>
      <c r="F5" s="19">
        <v>5.0000000000000001E-4</v>
      </c>
      <c r="G5" s="19">
        <v>3.3E-3</v>
      </c>
      <c r="H5" s="19">
        <v>0</v>
      </c>
      <c r="I5" s="19">
        <v>6.4999999999999997E-3</v>
      </c>
      <c r="J5" s="19">
        <v>0.03</v>
      </c>
      <c r="K5" s="19">
        <v>0</v>
      </c>
      <c r="L5" s="20">
        <f>((1+C5+F5+G5)*(1+E5)*(1+D5))/(1-H5-I5-J5-K5)-1</f>
        <v>0.11629302042553213</v>
      </c>
    </row>
    <row r="7" spans="1:12" x14ac:dyDescent="0.2">
      <c r="A7" s="68" t="s">
        <v>296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x14ac:dyDescent="0.2">
      <c r="A8" s="68" t="s">
        <v>297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x14ac:dyDescent="0.2">
      <c r="A9" s="68" t="s">
        <v>298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x14ac:dyDescent="0.2">
      <c r="A10" s="68" t="s">
        <v>299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x14ac:dyDescent="0.2">
      <c r="A11" s="68" t="s">
        <v>300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x14ac:dyDescent="0.2">
      <c r="A12" s="68" t="s">
        <v>301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x14ac:dyDescent="0.2">
      <c r="A13" s="68" t="s">
        <v>308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2" x14ac:dyDescent="0.2">
      <c r="A14" s="68" t="s">
        <v>303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2" x14ac:dyDescent="0.2">
      <c r="A15" s="68" t="s">
        <v>304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x14ac:dyDescent="0.2">
      <c r="A16" s="68" t="s">
        <v>305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2" x14ac:dyDescent="0.2">
      <c r="A17" s="68" t="s">
        <v>306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14">
    <mergeCell ref="A1:L1"/>
    <mergeCell ref="A2:L2"/>
    <mergeCell ref="A5:B5"/>
    <mergeCell ref="A7:L7"/>
    <mergeCell ref="A8:L8"/>
    <mergeCell ref="A14:L14"/>
    <mergeCell ref="A15:L15"/>
    <mergeCell ref="A16:L16"/>
    <mergeCell ref="A17:L17"/>
    <mergeCell ref="A9:L9"/>
    <mergeCell ref="A10:L10"/>
    <mergeCell ref="A11:L11"/>
    <mergeCell ref="A12:L12"/>
    <mergeCell ref="A13:L13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view="pageBreakPreview" zoomScaleNormal="100" zoomScaleSheetLayoutView="100" workbookViewId="0">
      <selection activeCell="E24" sqref="E24"/>
    </sheetView>
  </sheetViews>
  <sheetFormatPr baseColWidth="10" defaultColWidth="8.6640625" defaultRowHeight="15" x14ac:dyDescent="0.2"/>
  <cols>
    <col min="1" max="1" width="62" customWidth="1"/>
    <col min="2" max="2" width="9" customWidth="1"/>
    <col min="3" max="5" width="14" customWidth="1"/>
  </cols>
  <sheetData>
    <row r="1" spans="1:5" ht="16" x14ac:dyDescent="0.2">
      <c r="A1" s="70" t="s">
        <v>309</v>
      </c>
      <c r="B1" s="70"/>
      <c r="C1" s="70"/>
      <c r="D1" s="70"/>
      <c r="E1" s="70"/>
    </row>
    <row r="2" spans="1:5" x14ac:dyDescent="0.2">
      <c r="A2" s="71" t="s">
        <v>310</v>
      </c>
      <c r="B2" s="71"/>
      <c r="C2" s="71"/>
      <c r="D2" s="71"/>
      <c r="E2" s="71"/>
    </row>
    <row r="3" spans="1:5" x14ac:dyDescent="0.2">
      <c r="A3" s="71" t="s">
        <v>311</v>
      </c>
      <c r="B3" s="71"/>
      <c r="C3" s="71"/>
      <c r="D3" s="71"/>
      <c r="E3" s="71"/>
    </row>
    <row r="5" spans="1:5" x14ac:dyDescent="0.2">
      <c r="A5" s="1" t="s">
        <v>21</v>
      </c>
      <c r="B5" s="1" t="s">
        <v>24</v>
      </c>
      <c r="C5" s="1" t="s">
        <v>312</v>
      </c>
      <c r="D5" s="1" t="s">
        <v>26</v>
      </c>
      <c r="E5" s="1" t="s">
        <v>313</v>
      </c>
    </row>
    <row r="6" spans="1:5" x14ac:dyDescent="0.2">
      <c r="A6" s="21" t="s">
        <v>314</v>
      </c>
      <c r="B6" s="5" t="s">
        <v>315</v>
      </c>
      <c r="C6" s="8"/>
      <c r="D6" s="22">
        <v>1.5</v>
      </c>
      <c r="E6" s="7">
        <f>ROUND(C6*D6,2)</f>
        <v>0</v>
      </c>
    </row>
    <row r="7" spans="1:5" x14ac:dyDescent="0.2">
      <c r="A7" s="21" t="s">
        <v>316</v>
      </c>
      <c r="B7" s="5" t="s">
        <v>315</v>
      </c>
      <c r="C7" s="8"/>
      <c r="D7" s="22">
        <v>1</v>
      </c>
      <c r="E7" s="7">
        <f>ROUND(C7*D7,2)</f>
        <v>0</v>
      </c>
    </row>
    <row r="8" spans="1:5" x14ac:dyDescent="0.2">
      <c r="A8" s="21" t="s">
        <v>317</v>
      </c>
      <c r="B8" s="5" t="s">
        <v>315</v>
      </c>
      <c r="C8" s="8"/>
      <c r="D8" s="22">
        <v>0.5</v>
      </c>
      <c r="E8" s="7">
        <f>ROUND(C8*D8,2)</f>
        <v>0</v>
      </c>
    </row>
    <row r="9" spans="1:5" x14ac:dyDescent="0.2">
      <c r="A9" s="21" t="s">
        <v>318</v>
      </c>
      <c r="B9" s="5" t="s">
        <v>315</v>
      </c>
      <c r="C9" s="8"/>
      <c r="D9" s="22">
        <v>1.5</v>
      </c>
      <c r="E9" s="7">
        <f>ROUND(C9*D9,2)</f>
        <v>0</v>
      </c>
    </row>
    <row r="10" spans="1:5" x14ac:dyDescent="0.2">
      <c r="A10" s="23" t="s">
        <v>319</v>
      </c>
      <c r="B10" s="9"/>
      <c r="C10" s="9"/>
      <c r="D10" s="9"/>
      <c r="E10" s="18">
        <f>SUM(E6:E9)</f>
        <v>0</v>
      </c>
    </row>
    <row r="12" spans="1:5" x14ac:dyDescent="0.2">
      <c r="A12" s="12" t="s">
        <v>320</v>
      </c>
    </row>
  </sheetData>
  <mergeCells count="3">
    <mergeCell ref="A1:E1"/>
    <mergeCell ref="A2:E2"/>
    <mergeCell ref="A3:E3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view="pageBreakPreview" zoomScaleNormal="100" zoomScaleSheetLayoutView="100" workbookViewId="0">
      <selection activeCell="C6" sqref="C6:C10"/>
    </sheetView>
  </sheetViews>
  <sheetFormatPr baseColWidth="10" defaultColWidth="8.6640625" defaultRowHeight="15" x14ac:dyDescent="0.2"/>
  <cols>
    <col min="1" max="1" width="62" customWidth="1"/>
    <col min="2" max="2" width="9" customWidth="1"/>
    <col min="3" max="5" width="14" customWidth="1"/>
  </cols>
  <sheetData>
    <row r="1" spans="1:5" ht="16" x14ac:dyDescent="0.2">
      <c r="A1" s="70" t="s">
        <v>309</v>
      </c>
      <c r="B1" s="70"/>
      <c r="C1" s="70"/>
      <c r="D1" s="70"/>
      <c r="E1" s="70"/>
    </row>
    <row r="2" spans="1:5" x14ac:dyDescent="0.2">
      <c r="A2" s="71" t="s">
        <v>321</v>
      </c>
      <c r="B2" s="71"/>
      <c r="C2" s="71"/>
      <c r="D2" s="71"/>
      <c r="E2" s="71"/>
    </row>
    <row r="3" spans="1:5" x14ac:dyDescent="0.2">
      <c r="A3" s="71" t="s">
        <v>311</v>
      </c>
      <c r="B3" s="71"/>
      <c r="C3" s="71"/>
      <c r="D3" s="71"/>
      <c r="E3" s="71"/>
    </row>
    <row r="5" spans="1:5" x14ac:dyDescent="0.2">
      <c r="A5" s="1" t="s">
        <v>21</v>
      </c>
      <c r="B5" s="1" t="s">
        <v>24</v>
      </c>
      <c r="C5" s="1" t="s">
        <v>312</v>
      </c>
      <c r="D5" s="1" t="s">
        <v>26</v>
      </c>
      <c r="E5" s="1" t="s">
        <v>313</v>
      </c>
    </row>
    <row r="6" spans="1:5" x14ac:dyDescent="0.2">
      <c r="A6" s="21" t="s">
        <v>322</v>
      </c>
      <c r="B6" s="5" t="s">
        <v>315</v>
      </c>
      <c r="C6" s="8"/>
      <c r="D6" s="22">
        <v>3</v>
      </c>
      <c r="E6" s="7">
        <f>ROUND(C6*D6,2)</f>
        <v>0</v>
      </c>
    </row>
    <row r="7" spans="1:5" x14ac:dyDescent="0.2">
      <c r="A7" s="21" t="s">
        <v>323</v>
      </c>
      <c r="B7" s="5" t="s">
        <v>18</v>
      </c>
      <c r="C7" s="8"/>
      <c r="D7" s="22">
        <v>6</v>
      </c>
      <c r="E7" s="7">
        <f>ROUND(C7*D7,2)</f>
        <v>0</v>
      </c>
    </row>
    <row r="8" spans="1:5" x14ac:dyDescent="0.2">
      <c r="A8" s="21" t="s">
        <v>324</v>
      </c>
      <c r="B8" s="5" t="s">
        <v>325</v>
      </c>
      <c r="C8" s="8"/>
      <c r="D8" s="22">
        <v>3</v>
      </c>
      <c r="E8" s="7">
        <f>ROUND(C8*D8,2)</f>
        <v>0</v>
      </c>
    </row>
    <row r="9" spans="1:5" x14ac:dyDescent="0.2">
      <c r="A9" s="21" t="s">
        <v>326</v>
      </c>
      <c r="B9" s="5" t="s">
        <v>18</v>
      </c>
      <c r="C9" s="8"/>
      <c r="D9" s="22">
        <v>4</v>
      </c>
      <c r="E9" s="7">
        <f>ROUND(C9*D9,2)</f>
        <v>0</v>
      </c>
    </row>
    <row r="10" spans="1:5" x14ac:dyDescent="0.2">
      <c r="A10" s="21" t="s">
        <v>327</v>
      </c>
      <c r="B10" s="5" t="s">
        <v>328</v>
      </c>
      <c r="C10" s="8"/>
      <c r="D10" s="22">
        <v>20</v>
      </c>
      <c r="E10" s="7">
        <f>ROUND(C10*D10,2)</f>
        <v>0</v>
      </c>
    </row>
    <row r="11" spans="1:5" x14ac:dyDescent="0.2">
      <c r="A11" s="23" t="s">
        <v>319</v>
      </c>
      <c r="B11" s="9"/>
      <c r="C11" s="9"/>
      <c r="D11" s="9"/>
      <c r="E11" s="18">
        <f>SUM(E6:E10)</f>
        <v>0</v>
      </c>
    </row>
    <row r="13" spans="1:5" x14ac:dyDescent="0.2">
      <c r="A13" s="12" t="s">
        <v>320</v>
      </c>
    </row>
  </sheetData>
  <mergeCells count="3">
    <mergeCell ref="A1:E1"/>
    <mergeCell ref="A2:E2"/>
    <mergeCell ref="A3:E3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view="pageBreakPreview" zoomScaleNormal="100" zoomScaleSheetLayoutView="100" workbookViewId="0">
      <selection activeCell="C6" sqref="C6:C9"/>
    </sheetView>
  </sheetViews>
  <sheetFormatPr baseColWidth="10" defaultColWidth="8.6640625" defaultRowHeight="15" x14ac:dyDescent="0.2"/>
  <cols>
    <col min="1" max="1" width="62" customWidth="1"/>
    <col min="2" max="2" width="9" customWidth="1"/>
    <col min="3" max="5" width="14" customWidth="1"/>
  </cols>
  <sheetData>
    <row r="1" spans="1:5" ht="16" x14ac:dyDescent="0.2">
      <c r="A1" s="70" t="s">
        <v>309</v>
      </c>
      <c r="B1" s="70"/>
      <c r="C1" s="70"/>
      <c r="D1" s="70"/>
      <c r="E1" s="70"/>
    </row>
    <row r="2" spans="1:5" x14ac:dyDescent="0.2">
      <c r="A2" s="71" t="s">
        <v>329</v>
      </c>
      <c r="B2" s="71"/>
      <c r="C2" s="71"/>
      <c r="D2" s="71"/>
      <c r="E2" s="71"/>
    </row>
    <row r="3" spans="1:5" x14ac:dyDescent="0.2">
      <c r="A3" s="71" t="s">
        <v>311</v>
      </c>
      <c r="B3" s="71"/>
      <c r="C3" s="71"/>
      <c r="D3" s="71"/>
      <c r="E3" s="71"/>
    </row>
    <row r="5" spans="1:5" x14ac:dyDescent="0.2">
      <c r="A5" s="1" t="s">
        <v>21</v>
      </c>
      <c r="B5" s="1" t="s">
        <v>24</v>
      </c>
      <c r="C5" s="1" t="s">
        <v>312</v>
      </c>
      <c r="D5" s="1" t="s">
        <v>26</v>
      </c>
      <c r="E5" s="1" t="s">
        <v>313</v>
      </c>
    </row>
    <row r="6" spans="1:5" x14ac:dyDescent="0.2">
      <c r="A6" s="21" t="s">
        <v>330</v>
      </c>
      <c r="B6" s="5" t="s">
        <v>33</v>
      </c>
      <c r="C6" s="8"/>
      <c r="D6" s="22">
        <v>490</v>
      </c>
      <c r="E6" s="7">
        <f>ROUND(C6*D6,2)</f>
        <v>0</v>
      </c>
    </row>
    <row r="7" spans="1:5" x14ac:dyDescent="0.2">
      <c r="A7" s="21" t="s">
        <v>331</v>
      </c>
      <c r="B7" s="5" t="s">
        <v>33</v>
      </c>
      <c r="C7" s="8"/>
      <c r="D7" s="22">
        <v>490</v>
      </c>
      <c r="E7" s="7">
        <f>ROUND(C7*D7,2)</f>
        <v>0</v>
      </c>
    </row>
    <row r="8" spans="1:5" x14ac:dyDescent="0.2">
      <c r="A8" s="21" t="s">
        <v>332</v>
      </c>
      <c r="B8" s="5" t="s">
        <v>33</v>
      </c>
      <c r="C8" s="8"/>
      <c r="D8" s="22">
        <v>490</v>
      </c>
      <c r="E8" s="7">
        <f>ROUND(C8*D8,2)</f>
        <v>0</v>
      </c>
    </row>
    <row r="9" spans="1:5" x14ac:dyDescent="0.2">
      <c r="A9" s="21" t="s">
        <v>333</v>
      </c>
      <c r="B9" s="5" t="s">
        <v>334</v>
      </c>
      <c r="C9" s="8"/>
      <c r="D9" s="22">
        <v>1</v>
      </c>
      <c r="E9" s="7">
        <f>ROUND(C9*D9,2)</f>
        <v>0</v>
      </c>
    </row>
    <row r="10" spans="1:5" x14ac:dyDescent="0.2">
      <c r="A10" s="23" t="s">
        <v>319</v>
      </c>
      <c r="B10" s="9"/>
      <c r="C10" s="9"/>
      <c r="D10" s="9"/>
      <c r="E10" s="18">
        <f>SUM(E6:E9)</f>
        <v>0</v>
      </c>
    </row>
    <row r="12" spans="1:5" x14ac:dyDescent="0.2">
      <c r="A12" s="12" t="s">
        <v>320</v>
      </c>
    </row>
  </sheetData>
  <mergeCells count="3">
    <mergeCell ref="A1:E1"/>
    <mergeCell ref="A2:E2"/>
    <mergeCell ref="A3:E3"/>
  </mergeCells>
  <printOptions horizontalCentered="1"/>
  <pageMargins left="0.39370078740157483" right="0.39370078740157483" top="1.5748031496062993" bottom="0.98425196850393704" header="0" footer="0"/>
  <pageSetup paperSize="9" scale="70" orientation="landscape" horizontalDpi="300" verticalDpi="300" r:id="rId1"/>
  <headerFooter>
    <oddHeader>&amp;R&amp;G</oddHeader>
    <oddFooter>&amp;CPágina &amp;P de &amp;N&amp;ROmar Cardoso Rosa Filho
Engenheiro Civil - CREA 14.476/D-DF
Departamento de Engenharia
Prefeitura Municipal de Ouvidor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Orçamento CBUQ</vt:lpstr>
      <vt:lpstr>Memória Cálculo Orçamento</vt:lpstr>
      <vt:lpstr>Quadro de Áreas</vt:lpstr>
      <vt:lpstr>Composições de Custo</vt:lpstr>
      <vt:lpstr>BDI Serviços</vt:lpstr>
      <vt:lpstr>BDI Reduzido</vt:lpstr>
      <vt:lpstr>Administração Local</vt:lpstr>
      <vt:lpstr>Canteiro de Obra</vt:lpstr>
      <vt:lpstr>Mobilização e Desmobilização</vt:lpstr>
      <vt:lpstr>Cronograma Físico e Financeiro</vt:lpstr>
      <vt:lpstr>'Composições de Custo'!Area_de_impressao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Marcel Marques</cp:lastModifiedBy>
  <cp:lastPrinted>2026-07-20T18:11:10Z</cp:lastPrinted>
  <dcterms:created xsi:type="dcterms:W3CDTF">2026-07-16T17:20:37Z</dcterms:created>
  <dcterms:modified xsi:type="dcterms:W3CDTF">2026-08-06T16:54:13Z</dcterms:modified>
</cp:coreProperties>
</file>